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4.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drawings/drawing5.xml" ContentType="application/vnd.openxmlformats-officedocument.drawing+xml"/>
  <Override PartName="/xl/comments5.xml" ContentType="application/vnd.openxmlformats-officedocument.spreadsheetml.comments+xml"/>
  <Override PartName="/xl/threadedComments/threadedComment5.xml" ContentType="application/vnd.ms-excel.threadedcomments+xml"/>
  <Override PartName="/xl/drawings/drawing6.xml" ContentType="application/vnd.openxmlformats-officedocument.drawing+xml"/>
  <Override PartName="/xl/comments6.xml" ContentType="application/vnd.openxmlformats-officedocument.spreadsheetml.comments+xml"/>
  <Override PartName="/xl/threadedComments/threadedComment6.xml" ContentType="application/vnd.ms-excel.threadedcomments+xml"/>
  <Override PartName="/xl/drawings/drawing7.xml" ContentType="application/vnd.openxmlformats-officedocument.drawing+xml"/>
  <Override PartName="/xl/comments7.xml" ContentType="application/vnd.openxmlformats-officedocument.spreadsheetml.comments+xml"/>
  <Override PartName="/xl/threadedComments/threadedComment7.xml" ContentType="application/vnd.ms-excel.threadedcomments+xml"/>
  <Override PartName="/xl/drawings/drawing8.xml" ContentType="application/vnd.openxmlformats-officedocument.drawing+xml"/>
  <Override PartName="/xl/comments8.xml" ContentType="application/vnd.openxmlformats-officedocument.spreadsheetml.comments+xml"/>
  <Override PartName="/xl/threadedComments/threadedComment8.xml" ContentType="application/vnd.ms-excel.threadedcomments+xml"/>
  <Override PartName="/xl/comments9.xml" ContentType="application/vnd.openxmlformats-officedocument.spreadsheetml.comments+xml"/>
  <Override PartName="/xl/threadedComments/threadedComment9.xml" ContentType="application/vnd.ms-excel.threadedcomments+xml"/>
  <Override PartName="/xl/comments10.xml" ContentType="application/vnd.openxmlformats-officedocument.spreadsheetml.comments+xml"/>
  <Override PartName="/xl/threadedComments/threadedComment10.xml" ContentType="application/vnd.ms-excel.threadedcomments+xml"/>
  <Override PartName="/xl/drawings/drawing9.xml" ContentType="application/vnd.openxmlformats-officedocument.drawing+xml"/>
  <Override PartName="/xl/comments11.xml" ContentType="application/vnd.openxmlformats-officedocument.spreadsheetml.comments+xml"/>
  <Override PartName="/xl/threadedComments/threadedComment11.xml" ContentType="application/vnd.ms-excel.threadedcomments+xml"/>
  <Override PartName="/xl/drawings/drawing10.xml" ContentType="application/vnd.openxmlformats-officedocument.drawing+xml"/>
  <Override PartName="/xl/drawings/drawing11.xml" ContentType="application/vnd.openxmlformats-officedocument.drawing+xml"/>
  <Override PartName="/xl/comments12.xml" ContentType="application/vnd.openxmlformats-officedocument.spreadsheetml.comments+xml"/>
  <Override PartName="/xl/threadedComments/threadedComment12.xml" ContentType="application/vnd.ms-excel.threaded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13.xml" ContentType="application/vnd.openxmlformats-officedocument.spreadsheetml.comments+xml"/>
  <Override PartName="/xl/threadedComments/threadedComment13.xml" ContentType="application/vnd.ms-excel.threadedcomments+xml"/>
  <Override PartName="/xl/persons/person.xml" ContentType="application/vnd.ms-excel.person+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mc:AlternateContent xmlns:mc="http://schemas.openxmlformats.org/markup-compatibility/2006">
    <mc:Choice Requires="x15">
      <x15ac:absPath xmlns:x15ac="http://schemas.microsoft.com/office/spreadsheetml/2010/11/ac" url="C:\Users\AUXPLANEACION01.DQUINDIO\Desktop\Circular 2026\"/>
    </mc:Choice>
  </mc:AlternateContent>
  <xr:revisionPtr revIDLastSave="0" documentId="8_{C7F71424-95B8-4D84-95B6-C322A82AA7FB}" xr6:coauthVersionLast="47" xr6:coauthVersionMax="47" xr10:uidLastSave="{00000000-0000-0000-0000-000000000000}"/>
  <bookViews>
    <workbookView xWindow="-120" yWindow="-120" windowWidth="29040" windowHeight="15720" firstSheet="7" activeTab="3" xr2:uid="{00000000-000D-0000-FFFF-FFFF00000000}"/>
  </bookViews>
  <sheets>
    <sheet name="ADMINISTRATIVA" sheetId="17" r:id="rId1"/>
    <sheet name="HACIENDA" sheetId="18" r:id="rId2"/>
    <sheet name="PLANEACION" sheetId="34" r:id="rId3"/>
    <sheet name="INTERIOR" sheetId="24" r:id="rId4"/>
    <sheet name="CULTURA" sheetId="21" r:id="rId5"/>
    <sheet name="AGRICULTURA" sheetId="20" r:id="rId6"/>
    <sheet name="TURISMO" sheetId="26" r:id="rId7"/>
    <sheet name="PRIVADA" sheetId="28" r:id="rId8"/>
    <sheet name="EDUCACIÓN" sheetId="19" r:id="rId9"/>
    <sheet name="FAMILIA" sheetId="22" r:id="rId10"/>
    <sheet name="SALUD" sheetId="33" r:id="rId11"/>
    <sheet name="PROYECTA" sheetId="31" r:id="rId12"/>
    <sheet name="TIC" sheetId="25" r:id="rId13"/>
    <sheet name="IDTQ" sheetId="29" r:id="rId14"/>
    <sheet name="INDEPORTES" sheetId="30" r:id="rId15"/>
    <sheet name="INFRAESTRUCTURA" sheetId="35" r:id="rId16"/>
    <sheet name="CONSOLIDADO" sheetId="32" r:id="rId17"/>
    <sheet name="Hoja1" sheetId="36" r:id="rId18"/>
  </sheets>
  <externalReferences>
    <externalReference r:id="rId19"/>
    <externalReference r:id="rId20"/>
  </externalReferences>
  <definedNames>
    <definedName name="_1._Apoyo_con_equipos_para_la_seguridad_vial_Licenciamiento_de_software_para_comunicaciones">#REF!</definedName>
    <definedName name="_xlnm._FilterDatabase" localSheetId="13" hidden="1">IDTQ!$A$9:$BI$22</definedName>
    <definedName name="_xlnm._FilterDatabase" localSheetId="14" hidden="1">INDEPORTES!$A$9:$BI$67</definedName>
    <definedName name="_xlnm._FilterDatabase" localSheetId="11" hidden="1">PROYECTA!$A$9:$BC$34</definedName>
    <definedName name="_xlnm._FilterDatabase" localSheetId="0" hidden="1">ADMINISTRATIVA!$A$9:$BI$24</definedName>
    <definedName name="_xlnm._FilterDatabase" localSheetId="6" hidden="1">TURISMO!$A$9:$AR$41</definedName>
    <definedName name="_xlnm._FilterDatabase" localSheetId="2" hidden="1">PLANEACION!$A$9:$BI$59</definedName>
    <definedName name="_xlnm._FilterDatabase" localSheetId="9" hidden="1">FAMILIA!$A$9:$BI$142</definedName>
    <definedName name="_xlnm._FilterDatabase" localSheetId="12" hidden="1">TIC!$A$9:$BI$32</definedName>
    <definedName name="_xlnm._FilterDatabase" localSheetId="4" hidden="1">CULTURA!$A$9:$BI$9</definedName>
    <definedName name="_xlnm._FilterDatabase" localSheetId="5" hidden="1">AGRICULTURA!$A$10:$BI$10</definedName>
    <definedName name="_xlnm._FilterDatabase" localSheetId="1" hidden="1">HACIENDA!$A$9:$BI$30</definedName>
    <definedName name="_xlnm._FilterDatabase" localSheetId="8" hidden="1">EDUCACIÓN!$A$10:$BI$154</definedName>
    <definedName name="_xlnm._FilterDatabase" localSheetId="15" hidden="1">INFRAESTRUCTURA!$A$9:$BI$99</definedName>
    <definedName name="_xlnm._FilterDatabase" localSheetId="7" hidden="1">PRIVADA!$A$9:$BI$9</definedName>
    <definedName name="_xlnm._FilterDatabase" localSheetId="3" hidden="1">INTERIOR!$A$9:$BI$9</definedName>
    <definedName name="_xlnm._FilterDatabase" localSheetId="10" hidden="1">SALUD!$A$9:$BI$217</definedName>
    <definedName name="aa">#REF!</definedName>
    <definedName name="_xlnm.Print_Area" localSheetId="0">ADMINISTRATIVA!$A$1:$AQ$31</definedName>
    <definedName name="_xlnm.Print_Area" localSheetId="5">AGRICULTURA!$A$1:$AQ$43</definedName>
    <definedName name="_xlnm.Print_Area" localSheetId="4">CULTURA!$A$1:$AQ$31</definedName>
    <definedName name="_xlnm.Print_Area" localSheetId="8">EDUCACIÓN!$A$1:$AQ$161</definedName>
    <definedName name="_xlnm.Print_Area" localSheetId="9">FAMILIA!$A$1:$AQ$149</definedName>
    <definedName name="_xlnm.Print_Area" localSheetId="1">HACIENDA!$A$1:$AQ$37</definedName>
    <definedName name="_xlnm.Print_Area" localSheetId="13">IDTQ!$A$1:$AQ$29</definedName>
    <definedName name="_xlnm.Print_Area" localSheetId="14">INDEPORTES!$A$1:$AQ$74</definedName>
    <definedName name="_xlnm.Print_Area" localSheetId="15">INFRAESTRUCTURA!$A$1:$AQ$106</definedName>
    <definedName name="_xlnm.Print_Area" localSheetId="3">INTERIOR!$A$1:$AQ$123</definedName>
    <definedName name="_xlnm.Print_Area" localSheetId="2">PLANEACION!$A$1:$AQ$66</definedName>
    <definedName name="_xlnm.Print_Area" localSheetId="7">PRIVADA!$A$1:$AQ$33</definedName>
    <definedName name="_xlnm.Print_Area" localSheetId="11">PROYECTA!$A$1:$AK$47</definedName>
    <definedName name="_xlnm.Print_Area" localSheetId="10">SALUD!$A$1:$AQ$224</definedName>
    <definedName name="_xlnm.Print_Area" localSheetId="12">TIC!$A$1:$AQ$39</definedName>
    <definedName name="CODIGO_DIVIPOLA">#REF!</definedName>
    <definedName name="DboREGISTRO_LEY_617">#REF!</definedName>
    <definedName name="ññ">#REF!</definedName>
    <definedName name="PROGRAMAS">'[1]SECTORES,PROGRAMAS Y SUBPROGRAM'!$C$4:$D$179</definedName>
    <definedName name="secores">'[2]Sectores y Programas'!$H$5:$I$34</definedName>
    <definedName name="SECTOR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4" i="21" l="1"/>
  <c r="R12" i="28"/>
  <c r="R35" i="21"/>
  <c r="R18" i="20"/>
  <c r="R15" i="20"/>
  <c r="R27" i="18"/>
  <c r="R39" i="21"/>
  <c r="R63" i="20"/>
  <c r="R32" i="20"/>
  <c r="R210" i="33"/>
  <c r="R44" i="35"/>
  <c r="R48" i="35"/>
  <c r="R29" i="33"/>
  <c r="R46" i="35"/>
  <c r="R140" i="33"/>
  <c r="R160" i="33"/>
  <c r="S27" i="18"/>
  <c r="R135" i="33"/>
  <c r="R134" i="33"/>
  <c r="R161" i="33"/>
  <c r="R32" i="33"/>
  <c r="R124" i="19"/>
  <c r="R158" i="33"/>
  <c r="R37" i="20"/>
  <c r="R201" i="33"/>
  <c r="R197" i="33"/>
  <c r="R47" i="20"/>
  <c r="R34" i="20"/>
  <c r="R57" i="20"/>
  <c r="U57" i="20" s="1"/>
  <c r="R47" i="34"/>
  <c r="R19" i="33"/>
  <c r="R24" i="26"/>
  <c r="R10" i="33"/>
  <c r="R23" i="26"/>
  <c r="R39" i="34"/>
  <c r="R20" i="26"/>
  <c r="R38" i="34"/>
  <c r="R34" i="34"/>
  <c r="R33" i="34"/>
  <c r="R32" i="34"/>
  <c r="R20" i="33"/>
  <c r="R26" i="20"/>
  <c r="R141" i="33"/>
  <c r="R94" i="24"/>
  <c r="R76" i="24"/>
  <c r="R75" i="24"/>
  <c r="R72" i="24"/>
  <c r="R71" i="24"/>
  <c r="R194" i="33"/>
  <c r="R40" i="33"/>
  <c r="R128" i="22"/>
  <c r="R182" i="33"/>
  <c r="R181" i="33"/>
  <c r="R67" i="35"/>
  <c r="R180" i="33"/>
  <c r="R178" i="33"/>
  <c r="R24" i="22"/>
  <c r="R173" i="33"/>
  <c r="R13" i="22"/>
  <c r="R28" i="21"/>
  <c r="R27" i="21"/>
  <c r="R169" i="33"/>
  <c r="R15" i="18"/>
  <c r="R16" i="25"/>
  <c r="R174" i="33"/>
  <c r="R27" i="33"/>
  <c r="R137" i="33"/>
  <c r="R202" i="33"/>
  <c r="R142" i="33"/>
  <c r="R22" i="33"/>
  <c r="R159" i="33"/>
  <c r="R147" i="33"/>
  <c r="R198" i="33"/>
  <c r="R32" i="35"/>
  <c r="R47" i="19"/>
  <c r="R24" i="35"/>
  <c r="R53" i="35"/>
  <c r="R47" i="21"/>
  <c r="R39" i="35"/>
  <c r="R29" i="35"/>
  <c r="R40" i="24"/>
  <c r="R12" i="25"/>
  <c r="R21" i="24"/>
  <c r="R42" i="24"/>
  <c r="R20" i="24"/>
  <c r="R13" i="24"/>
  <c r="R15" i="33"/>
  <c r="R17" i="34"/>
  <c r="R115" i="22"/>
  <c r="R34" i="22"/>
  <c r="R111" i="22"/>
  <c r="R33" i="22"/>
  <c r="R32" i="22"/>
  <c r="R138" i="22"/>
  <c r="R146" i="33"/>
  <c r="R63" i="22"/>
  <c r="R28" i="18"/>
  <c r="R176" i="33"/>
  <c r="R123" i="22"/>
  <c r="R122" i="22"/>
  <c r="R195" i="33"/>
  <c r="R17" i="21"/>
  <c r="R12" i="21"/>
  <c r="R10" i="21"/>
  <c r="R42" i="21"/>
  <c r="R37" i="21"/>
  <c r="R15" i="21"/>
  <c r="S37" i="21"/>
  <c r="R184" i="33"/>
  <c r="R87" i="35"/>
  <c r="R61" i="19"/>
  <c r="R186" i="33"/>
  <c r="R63" i="19"/>
  <c r="R75" i="35"/>
  <c r="R73" i="35"/>
  <c r="R188" i="33"/>
  <c r="R16" i="21"/>
  <c r="R69" i="35"/>
  <c r="R90" i="22"/>
  <c r="R89" i="22"/>
  <c r="U159" i="33"/>
  <c r="R183" i="33"/>
  <c r="R16" i="24"/>
  <c r="R12" i="24"/>
  <c r="R15" i="24"/>
  <c r="R23" i="21"/>
  <c r="R37" i="35"/>
  <c r="U201" i="33"/>
  <c r="R155" i="33"/>
  <c r="R41" i="33"/>
  <c r="R29" i="24"/>
  <c r="R136" i="33"/>
  <c r="R16" i="33"/>
  <c r="R25" i="21"/>
  <c r="R97" i="24"/>
  <c r="R95" i="24"/>
  <c r="R93" i="24"/>
  <c r="R92" i="24"/>
  <c r="R89" i="24"/>
  <c r="R87" i="22"/>
  <c r="R20" i="22"/>
  <c r="R64" i="35"/>
  <c r="U11" i="33"/>
  <c r="U12" i="33"/>
  <c r="U13" i="33"/>
  <c r="U14" i="33"/>
  <c r="U15" i="33"/>
  <c r="U16" i="33"/>
  <c r="U17" i="33"/>
  <c r="U18" i="33"/>
  <c r="U19" i="33"/>
  <c r="U20" i="33"/>
  <c r="U22" i="33"/>
  <c r="U23" i="33"/>
  <c r="U24" i="33"/>
  <c r="U25" i="33"/>
  <c r="U26" i="33"/>
  <c r="U27" i="33"/>
  <c r="U28" i="33"/>
  <c r="U29" i="33"/>
  <c r="U30" i="33"/>
  <c r="U31" i="33"/>
  <c r="U32" i="33"/>
  <c r="U33" i="33"/>
  <c r="U34" i="33"/>
  <c r="U35" i="33"/>
  <c r="U36" i="33"/>
  <c r="U37" i="33"/>
  <c r="U38" i="33"/>
  <c r="U39" i="33"/>
  <c r="U40" i="33"/>
  <c r="U41" i="33"/>
  <c r="U42" i="33"/>
  <c r="U43" i="33"/>
  <c r="U44" i="33"/>
  <c r="U45" i="33"/>
  <c r="U46" i="33"/>
  <c r="U47" i="33"/>
  <c r="U48" i="33"/>
  <c r="U49" i="33"/>
  <c r="U50" i="33"/>
  <c r="U51" i="33"/>
  <c r="U52" i="33"/>
  <c r="U53" i="33"/>
  <c r="U54" i="33"/>
  <c r="U55" i="33"/>
  <c r="U56" i="33"/>
  <c r="U57" i="33"/>
  <c r="U58" i="33"/>
  <c r="U59" i="33"/>
  <c r="U60" i="33"/>
  <c r="U61" i="33"/>
  <c r="U62" i="33"/>
  <c r="U63" i="33"/>
  <c r="U64" i="33"/>
  <c r="U65" i="33"/>
  <c r="U66" i="33"/>
  <c r="U67" i="33"/>
  <c r="U68" i="33"/>
  <c r="U69" i="33"/>
  <c r="U70" i="33"/>
  <c r="U71" i="33"/>
  <c r="U72" i="33"/>
  <c r="U73" i="33"/>
  <c r="U74" i="33"/>
  <c r="U75" i="33"/>
  <c r="U76" i="33"/>
  <c r="U77" i="33"/>
  <c r="U78" i="33"/>
  <c r="U79" i="33"/>
  <c r="U80" i="33"/>
  <c r="U81" i="33"/>
  <c r="U82" i="33"/>
  <c r="U83" i="33"/>
  <c r="U84" i="33"/>
  <c r="U85" i="33"/>
  <c r="U86" i="33"/>
  <c r="U87" i="33"/>
  <c r="U88" i="33"/>
  <c r="U89" i="33"/>
  <c r="U90" i="33"/>
  <c r="U91" i="33"/>
  <c r="U92" i="33"/>
  <c r="U93" i="33"/>
  <c r="U94" i="33"/>
  <c r="U95" i="33"/>
  <c r="U96" i="33"/>
  <c r="U97" i="33"/>
  <c r="U98" i="33"/>
  <c r="U99" i="33"/>
  <c r="U100" i="33"/>
  <c r="U101" i="33"/>
  <c r="U102" i="33"/>
  <c r="U103" i="33"/>
  <c r="U104" i="33"/>
  <c r="U105" i="33"/>
  <c r="U106" i="33"/>
  <c r="U107" i="33"/>
  <c r="U108" i="33"/>
  <c r="U109" i="33"/>
  <c r="U110" i="33"/>
  <c r="U111" i="33"/>
  <c r="U112" i="33"/>
  <c r="U113" i="33"/>
  <c r="U114" i="33"/>
  <c r="U115" i="33"/>
  <c r="U116" i="33"/>
  <c r="U117" i="33"/>
  <c r="U118" i="33"/>
  <c r="U119" i="33"/>
  <c r="U120" i="33"/>
  <c r="U121" i="33"/>
  <c r="U122" i="33"/>
  <c r="U123" i="33"/>
  <c r="U124" i="33"/>
  <c r="U125" i="33"/>
  <c r="U126" i="33"/>
  <c r="U127" i="33"/>
  <c r="U128" i="33"/>
  <c r="U129" i="33"/>
  <c r="U130" i="33"/>
  <c r="U131" i="33"/>
  <c r="U132" i="33"/>
  <c r="U133" i="33"/>
  <c r="U134" i="33"/>
  <c r="U135" i="33"/>
  <c r="U136" i="33"/>
  <c r="U137" i="33"/>
  <c r="U138" i="33"/>
  <c r="U139" i="33"/>
  <c r="U140" i="33"/>
  <c r="U141" i="33"/>
  <c r="U142" i="33"/>
  <c r="U143" i="33"/>
  <c r="U144" i="33"/>
  <c r="U145" i="33"/>
  <c r="U146" i="33"/>
  <c r="U147" i="33"/>
  <c r="U148" i="33"/>
  <c r="U149" i="33"/>
  <c r="U150" i="33"/>
  <c r="U151" i="33"/>
  <c r="U152" i="33"/>
  <c r="U153" i="33"/>
  <c r="U154" i="33"/>
  <c r="U155" i="33"/>
  <c r="U156" i="33"/>
  <c r="U157" i="33"/>
  <c r="U158" i="33"/>
  <c r="U160" i="33"/>
  <c r="U161" i="33"/>
  <c r="U162" i="33"/>
  <c r="U163" i="33"/>
  <c r="U164" i="33"/>
  <c r="U165" i="33"/>
  <c r="U166" i="33"/>
  <c r="U167" i="33"/>
  <c r="U168" i="33"/>
  <c r="U169" i="33"/>
  <c r="U171" i="33"/>
  <c r="U172" i="33"/>
  <c r="U173" i="33"/>
  <c r="U174" i="33"/>
  <c r="U175" i="33"/>
  <c r="U176" i="33"/>
  <c r="U177" i="33"/>
  <c r="U178" i="33"/>
  <c r="U179" i="33"/>
  <c r="U180" i="33"/>
  <c r="U181" i="33"/>
  <c r="U182" i="33"/>
  <c r="U183" i="33"/>
  <c r="U184" i="33"/>
  <c r="U185" i="33"/>
  <c r="U186" i="33"/>
  <c r="U187" i="33"/>
  <c r="U188" i="33"/>
  <c r="U190" i="33"/>
  <c r="U191" i="33"/>
  <c r="U193" i="33"/>
  <c r="U194" i="33"/>
  <c r="U195" i="33"/>
  <c r="U196" i="33"/>
  <c r="U197" i="33"/>
  <c r="U198" i="33"/>
  <c r="U199" i="33"/>
  <c r="U200" i="33"/>
  <c r="U202" i="33"/>
  <c r="U203" i="33"/>
  <c r="U204" i="33"/>
  <c r="U205" i="33"/>
  <c r="U206" i="33"/>
  <c r="U207" i="33"/>
  <c r="U208" i="33"/>
  <c r="U210" i="33"/>
  <c r="U211" i="33"/>
  <c r="U212" i="33"/>
  <c r="U213" i="33"/>
  <c r="U214" i="33"/>
  <c r="U215" i="33"/>
  <c r="U216" i="33"/>
  <c r="U10" i="33"/>
  <c r="R15" i="17"/>
  <c r="R58" i="20"/>
  <c r="R42" i="20"/>
  <c r="R60" i="20"/>
  <c r="R43" i="20"/>
  <c r="R38" i="20"/>
  <c r="R170" i="33"/>
  <c r="U170" i="33" s="1"/>
  <c r="R21" i="26"/>
  <c r="Q24" i="35"/>
  <c r="R30" i="22"/>
  <c r="R28" i="26"/>
  <c r="R21" i="33"/>
  <c r="U21" i="33" s="1"/>
  <c r="R105" i="24"/>
  <c r="R34" i="24"/>
  <c r="R24" i="24"/>
  <c r="S36" i="26"/>
  <c r="R35" i="26"/>
  <c r="Q58" i="20"/>
  <c r="R41" i="20"/>
  <c r="R22" i="26"/>
  <c r="R40" i="26"/>
  <c r="R11" i="17"/>
  <c r="R14" i="17"/>
  <c r="R41" i="24"/>
  <c r="R68" i="24"/>
  <c r="R48" i="24"/>
  <c r="R19" i="25"/>
  <c r="R17" i="25"/>
  <c r="R40" i="20"/>
  <c r="R76" i="19"/>
  <c r="R105" i="22"/>
  <c r="R12" i="22"/>
  <c r="U35" i="21"/>
  <c r="R14" i="28"/>
  <c r="R15" i="25"/>
  <c r="R13" i="25"/>
  <c r="R28" i="25"/>
  <c r="Q29" i="35"/>
  <c r="Q26" i="35"/>
  <c r="Q20" i="35"/>
  <c r="R33" i="26"/>
  <c r="R38" i="26"/>
  <c r="R85" i="24"/>
  <c r="R16" i="18"/>
  <c r="R36" i="26"/>
  <c r="R189" i="33"/>
  <c r="U189" i="33" s="1"/>
  <c r="R130" i="22"/>
  <c r="U130" i="22" s="1"/>
  <c r="R31" i="20"/>
  <c r="R24" i="34"/>
  <c r="R30" i="34"/>
  <c r="R34" i="26"/>
  <c r="R54" i="35"/>
  <c r="R45" i="35"/>
  <c r="R38" i="35"/>
  <c r="R31" i="35"/>
  <c r="R23" i="35"/>
  <c r="U23" i="35" s="1"/>
  <c r="R13" i="28"/>
  <c r="R29" i="25"/>
  <c r="R29" i="34"/>
  <c r="R19" i="26"/>
  <c r="R20" i="21"/>
  <c r="R42" i="19"/>
  <c r="R64" i="19"/>
  <c r="R43" i="21"/>
  <c r="R39" i="26"/>
  <c r="R209" i="33"/>
  <c r="U209" i="33" s="1"/>
  <c r="R53" i="20"/>
  <c r="R77" i="35"/>
  <c r="Q61" i="19"/>
  <c r="Q45" i="19"/>
  <c r="R11" i="34"/>
  <c r="R10" i="34"/>
  <c r="Q74" i="19"/>
  <c r="Q71" i="19"/>
  <c r="Q35" i="19"/>
  <c r="R72" i="19"/>
  <c r="R30" i="35"/>
  <c r="R22" i="17"/>
  <c r="R13" i="17"/>
  <c r="R19" i="17"/>
  <c r="R18" i="17"/>
  <c r="U11" i="21"/>
  <c r="U12" i="21"/>
  <c r="U13" i="21"/>
  <c r="U14" i="21"/>
  <c r="U15" i="21"/>
  <c r="U16" i="21"/>
  <c r="U17" i="21"/>
  <c r="U18" i="21"/>
  <c r="U19" i="21"/>
  <c r="U20" i="21"/>
  <c r="U21" i="21"/>
  <c r="U22" i="21"/>
  <c r="U23" i="21"/>
  <c r="U24" i="21"/>
  <c r="U25" i="21"/>
  <c r="U26" i="21"/>
  <c r="U28" i="21"/>
  <c r="U29" i="21"/>
  <c r="U30" i="21"/>
  <c r="U31" i="21"/>
  <c r="U32" i="21"/>
  <c r="U33" i="21"/>
  <c r="U34" i="21"/>
  <c r="U36" i="21"/>
  <c r="U37" i="21"/>
  <c r="U38" i="21"/>
  <c r="U39" i="21"/>
  <c r="U40" i="21"/>
  <c r="U41" i="21"/>
  <c r="U42" i="21"/>
  <c r="U43" i="21"/>
  <c r="U44" i="21"/>
  <c r="U45" i="21"/>
  <c r="U46" i="21"/>
  <c r="U47" i="21"/>
  <c r="U48" i="21"/>
  <c r="U49" i="21"/>
  <c r="U50" i="21"/>
  <c r="U51" i="21"/>
  <c r="U52" i="21"/>
  <c r="U10" i="21"/>
  <c r="U10" i="17"/>
  <c r="U11" i="17"/>
  <c r="U12" i="17"/>
  <c r="U13" i="17"/>
  <c r="U14" i="17"/>
  <c r="U15" i="17"/>
  <c r="U16" i="17"/>
  <c r="U17" i="17"/>
  <c r="U18" i="17"/>
  <c r="U19" i="17"/>
  <c r="U20" i="17"/>
  <c r="U21" i="17"/>
  <c r="U22" i="17"/>
  <c r="U23" i="17"/>
  <c r="R23" i="17"/>
  <c r="U74" i="19"/>
  <c r="R22" i="25"/>
  <c r="R23" i="25"/>
  <c r="AN71" i="19"/>
  <c r="U71" i="19"/>
  <c r="U69" i="19"/>
  <c r="AN69" i="19"/>
  <c r="AN63" i="19"/>
  <c r="U63" i="19"/>
  <c r="AN61" i="19"/>
  <c r="U61" i="19"/>
  <c r="AN47" i="19"/>
  <c r="U47" i="19"/>
  <c r="Q44" i="19"/>
  <c r="AN45" i="19"/>
  <c r="U45" i="19"/>
  <c r="Q73" i="19"/>
  <c r="Q70" i="19"/>
  <c r="Q68" i="19"/>
  <c r="Q62" i="19"/>
  <c r="Q60" i="19"/>
  <c r="Q46" i="19"/>
  <c r="U32" i="22"/>
  <c r="U32" i="20"/>
  <c r="R15" i="34"/>
  <c r="R13" i="34"/>
  <c r="R12" i="34"/>
  <c r="U29" i="25"/>
  <c r="Q28" i="25"/>
  <c r="M29" i="25"/>
  <c r="R11" i="20"/>
  <c r="R192" i="33"/>
  <c r="U192" i="33" s="1"/>
  <c r="R25" i="20"/>
  <c r="R44" i="34"/>
  <c r="R42" i="34"/>
  <c r="R27" i="34"/>
  <c r="U73" i="19"/>
  <c r="S77" i="35"/>
  <c r="U22" i="25"/>
  <c r="U11" i="24"/>
  <c r="U12" i="24"/>
  <c r="U13" i="24"/>
  <c r="U14" i="24"/>
  <c r="U15" i="24"/>
  <c r="U16" i="24"/>
  <c r="U17" i="24"/>
  <c r="U18" i="24"/>
  <c r="U19" i="24"/>
  <c r="U20" i="24"/>
  <c r="U21" i="24"/>
  <c r="U22" i="24"/>
  <c r="U23" i="24"/>
  <c r="U24" i="24"/>
  <c r="U25" i="24"/>
  <c r="U26" i="24"/>
  <c r="U27" i="24"/>
  <c r="U28" i="24"/>
  <c r="U29" i="24"/>
  <c r="U30" i="24"/>
  <c r="U31" i="24"/>
  <c r="U32" i="24"/>
  <c r="U33" i="24"/>
  <c r="U34" i="24"/>
  <c r="U35" i="24"/>
  <c r="U36" i="24"/>
  <c r="U37" i="24"/>
  <c r="U38" i="24"/>
  <c r="U39" i="24"/>
  <c r="U40" i="24"/>
  <c r="U41" i="24"/>
  <c r="U42" i="24"/>
  <c r="U43" i="24"/>
  <c r="U44" i="24"/>
  <c r="U45" i="24"/>
  <c r="U46" i="24"/>
  <c r="U47" i="24"/>
  <c r="U48" i="24"/>
  <c r="U49" i="24"/>
  <c r="U50" i="24"/>
  <c r="U51" i="24"/>
  <c r="U52" i="24"/>
  <c r="U53" i="24"/>
  <c r="U54" i="24"/>
  <c r="U55" i="24"/>
  <c r="U56" i="24"/>
  <c r="U57" i="24"/>
  <c r="U58" i="24"/>
  <c r="U59" i="24"/>
  <c r="U60" i="24"/>
  <c r="U61" i="24"/>
  <c r="U62" i="24"/>
  <c r="U63" i="24"/>
  <c r="U64" i="24"/>
  <c r="U65" i="24"/>
  <c r="U66" i="24"/>
  <c r="U67" i="24"/>
  <c r="U68" i="24"/>
  <c r="U69" i="24"/>
  <c r="U70" i="24"/>
  <c r="U71" i="24"/>
  <c r="U72" i="24"/>
  <c r="U73" i="24"/>
  <c r="U74" i="24"/>
  <c r="U75" i="24"/>
  <c r="U76" i="24"/>
  <c r="U77" i="24"/>
  <c r="U78" i="24"/>
  <c r="U79" i="24"/>
  <c r="U80" i="24"/>
  <c r="U81" i="24"/>
  <c r="U82" i="24"/>
  <c r="U83" i="24"/>
  <c r="U84" i="24"/>
  <c r="U85" i="24"/>
  <c r="U86" i="24"/>
  <c r="U87" i="24"/>
  <c r="U88" i="24"/>
  <c r="U89" i="24"/>
  <c r="U90" i="24"/>
  <c r="U91" i="24"/>
  <c r="U92" i="24"/>
  <c r="U93" i="24"/>
  <c r="U94" i="24"/>
  <c r="U95" i="24"/>
  <c r="U96" i="24"/>
  <c r="U97" i="24"/>
  <c r="U98" i="24"/>
  <c r="U99" i="24"/>
  <c r="U100" i="24"/>
  <c r="U101" i="24"/>
  <c r="U102" i="24"/>
  <c r="U103" i="24"/>
  <c r="U104" i="24"/>
  <c r="U105" i="24"/>
  <c r="U106" i="24"/>
  <c r="U107" i="24"/>
  <c r="U108" i="24"/>
  <c r="U109" i="24"/>
  <c r="U110" i="24"/>
  <c r="U111" i="24"/>
  <c r="U112" i="24"/>
  <c r="U113" i="24"/>
  <c r="U114" i="24"/>
  <c r="U115" i="24"/>
  <c r="U10" i="24"/>
  <c r="U35" i="19"/>
  <c r="AN35" i="19"/>
  <c r="R24" i="25"/>
  <c r="Q34" i="19"/>
  <c r="R24" i="20"/>
  <c r="R93" i="35"/>
  <c r="R94" i="35"/>
  <c r="R16" i="34"/>
  <c r="R92" i="35"/>
  <c r="R81" i="19"/>
  <c r="R11" i="28"/>
  <c r="U27" i="21"/>
  <c r="R30" i="25"/>
  <c r="U30" i="25" s="1"/>
  <c r="U28" i="25"/>
  <c r="R31" i="25"/>
  <c r="U31" i="25" s="1"/>
  <c r="U16" i="25"/>
  <c r="U12" i="25"/>
  <c r="U11" i="28"/>
  <c r="U13" i="28"/>
  <c r="U14" i="28"/>
  <c r="U15" i="28"/>
  <c r="U16" i="28"/>
  <c r="U17" i="28"/>
  <c r="U18" i="28"/>
  <c r="U19" i="28"/>
  <c r="U20" i="28"/>
  <c r="U21" i="28"/>
  <c r="U22" i="28"/>
  <c r="U23" i="28"/>
  <c r="U24" i="28"/>
  <c r="U25" i="28"/>
  <c r="U10" i="28"/>
  <c r="U12" i="19"/>
  <c r="U13" i="19"/>
  <c r="U14" i="19"/>
  <c r="U15" i="19"/>
  <c r="U16" i="19"/>
  <c r="U17" i="19"/>
  <c r="U18" i="19"/>
  <c r="U19" i="19"/>
  <c r="U20" i="19"/>
  <c r="U21" i="19"/>
  <c r="U22" i="19"/>
  <c r="U23" i="19"/>
  <c r="U24" i="19"/>
  <c r="U25" i="19"/>
  <c r="U26" i="19"/>
  <c r="U27" i="19"/>
  <c r="U28" i="19"/>
  <c r="U29" i="19"/>
  <c r="U30" i="19"/>
  <c r="U31" i="19"/>
  <c r="U32" i="19"/>
  <c r="U33" i="19"/>
  <c r="U34" i="19"/>
  <c r="U36" i="19"/>
  <c r="U37" i="19"/>
  <c r="U38" i="19"/>
  <c r="U39" i="19"/>
  <c r="U40" i="19"/>
  <c r="U41" i="19"/>
  <c r="U42" i="19"/>
  <c r="U43" i="19"/>
  <c r="U44" i="19"/>
  <c r="U46" i="19"/>
  <c r="U49" i="19"/>
  <c r="U50" i="19"/>
  <c r="U51" i="19"/>
  <c r="U52" i="19"/>
  <c r="U53" i="19"/>
  <c r="U54" i="19"/>
  <c r="U55" i="19"/>
  <c r="U56" i="19"/>
  <c r="U57" i="19"/>
  <c r="U58" i="19"/>
  <c r="U59" i="19"/>
  <c r="U60" i="19"/>
  <c r="U62" i="19"/>
  <c r="U64" i="19"/>
  <c r="U65" i="19"/>
  <c r="U66" i="19"/>
  <c r="U67" i="19"/>
  <c r="U68" i="19"/>
  <c r="U70" i="19"/>
  <c r="U72" i="19"/>
  <c r="U75" i="19"/>
  <c r="U76" i="19"/>
  <c r="U77" i="19"/>
  <c r="U78" i="19"/>
  <c r="U79" i="19"/>
  <c r="U80" i="19"/>
  <c r="U81" i="19"/>
  <c r="U82" i="19"/>
  <c r="U83" i="19"/>
  <c r="U84" i="19"/>
  <c r="U85" i="19"/>
  <c r="U86" i="19"/>
  <c r="U87" i="19"/>
  <c r="U88" i="19"/>
  <c r="U89" i="19"/>
  <c r="U90" i="19"/>
  <c r="U91" i="19"/>
  <c r="U92" i="19"/>
  <c r="U93" i="19"/>
  <c r="U94" i="19"/>
  <c r="U95" i="19"/>
  <c r="U96" i="19"/>
  <c r="U97" i="19"/>
  <c r="U98" i="19"/>
  <c r="U99" i="19"/>
  <c r="U100" i="19"/>
  <c r="U101" i="19"/>
  <c r="U102" i="19"/>
  <c r="U103" i="19"/>
  <c r="U104" i="19"/>
  <c r="U105" i="19"/>
  <c r="U106" i="19"/>
  <c r="U107" i="19"/>
  <c r="U108" i="19"/>
  <c r="U109" i="19"/>
  <c r="U110" i="19"/>
  <c r="U111" i="19"/>
  <c r="U112" i="19"/>
  <c r="U113" i="19"/>
  <c r="U114" i="19"/>
  <c r="U115" i="19"/>
  <c r="U116" i="19"/>
  <c r="U117" i="19"/>
  <c r="U118" i="19"/>
  <c r="U119" i="19"/>
  <c r="U120" i="19"/>
  <c r="U121" i="19"/>
  <c r="U122" i="19"/>
  <c r="U123" i="19"/>
  <c r="U124" i="19"/>
  <c r="U125" i="19"/>
  <c r="U126" i="19"/>
  <c r="U127" i="19"/>
  <c r="U128" i="19"/>
  <c r="U129" i="19"/>
  <c r="U130" i="19"/>
  <c r="U131" i="19"/>
  <c r="U132" i="19"/>
  <c r="U133" i="19"/>
  <c r="U134" i="19"/>
  <c r="U135" i="19"/>
  <c r="U136" i="19"/>
  <c r="U137" i="19"/>
  <c r="U138" i="19"/>
  <c r="U139" i="19"/>
  <c r="U140" i="19"/>
  <c r="U141" i="19"/>
  <c r="U142" i="19"/>
  <c r="U143" i="19"/>
  <c r="U144" i="19"/>
  <c r="U145" i="19"/>
  <c r="U146" i="19"/>
  <c r="U147" i="19"/>
  <c r="U148" i="19"/>
  <c r="U149" i="19"/>
  <c r="U150" i="19"/>
  <c r="U151" i="19"/>
  <c r="U152" i="19"/>
  <c r="U153" i="19"/>
  <c r="U11" i="19"/>
  <c r="U12" i="28"/>
  <c r="R48" i="19"/>
  <c r="U48" i="19" s="1"/>
  <c r="R33" i="35"/>
  <c r="U15" i="34"/>
  <c r="U16" i="34"/>
  <c r="U17" i="34"/>
  <c r="U18" i="34"/>
  <c r="U19" i="34"/>
  <c r="U20" i="34"/>
  <c r="U21" i="34"/>
  <c r="U22" i="34"/>
  <c r="U23" i="34"/>
  <c r="U24" i="34"/>
  <c r="U25" i="34"/>
  <c r="U26" i="34"/>
  <c r="U27" i="34"/>
  <c r="U28" i="34"/>
  <c r="U29" i="34"/>
  <c r="U30" i="34"/>
  <c r="U31" i="34"/>
  <c r="U32" i="34"/>
  <c r="U33" i="34"/>
  <c r="U34" i="34"/>
  <c r="U35" i="34"/>
  <c r="U36" i="34"/>
  <c r="U37" i="34"/>
  <c r="U38" i="34"/>
  <c r="U39" i="34"/>
  <c r="U40" i="34"/>
  <c r="U41" i="34"/>
  <c r="U42" i="34"/>
  <c r="U43" i="34"/>
  <c r="U44" i="34"/>
  <c r="U45" i="34"/>
  <c r="U46" i="34"/>
  <c r="U47" i="34"/>
  <c r="U48" i="34"/>
  <c r="U49" i="34"/>
  <c r="U50" i="34"/>
  <c r="U51" i="34"/>
  <c r="U52" i="34"/>
  <c r="U53" i="34"/>
  <c r="U54" i="34"/>
  <c r="U55" i="34"/>
  <c r="U56" i="34"/>
  <c r="U57" i="34"/>
  <c r="U58" i="34"/>
  <c r="U10" i="34"/>
  <c r="U11" i="34"/>
  <c r="U13" i="34"/>
  <c r="U12" i="34"/>
  <c r="R14" i="34"/>
  <c r="U14" i="34" s="1"/>
  <c r="U23" i="25"/>
  <c r="U24" i="25"/>
  <c r="M98" i="35"/>
  <c r="M97" i="35"/>
  <c r="AN96" i="35"/>
  <c r="M96" i="35"/>
  <c r="AN95" i="35"/>
  <c r="M95" i="35"/>
  <c r="AN94" i="35"/>
  <c r="U94" i="35"/>
  <c r="M94" i="35"/>
  <c r="AN93" i="35"/>
  <c r="U93" i="35"/>
  <c r="M93" i="35"/>
  <c r="AN92" i="35"/>
  <c r="U92" i="35"/>
  <c r="M92" i="35"/>
  <c r="AN91" i="35"/>
  <c r="U91" i="35"/>
  <c r="M91" i="35"/>
  <c r="AN90" i="35"/>
  <c r="U90" i="35"/>
  <c r="M90" i="35"/>
  <c r="AN89" i="35"/>
  <c r="U89" i="35"/>
  <c r="M89" i="35"/>
  <c r="AN88" i="35"/>
  <c r="U88" i="35"/>
  <c r="M88" i="35"/>
  <c r="AN87" i="35"/>
  <c r="U87" i="35"/>
  <c r="AN86" i="35"/>
  <c r="U86" i="35"/>
  <c r="U85" i="35"/>
  <c r="M85" i="35"/>
  <c r="U84" i="35"/>
  <c r="M84" i="35"/>
  <c r="U83" i="35"/>
  <c r="M83" i="35"/>
  <c r="U82" i="35"/>
  <c r="M82" i="35"/>
  <c r="U81" i="35"/>
  <c r="M81" i="35"/>
  <c r="U80" i="35"/>
  <c r="M80" i="35"/>
  <c r="U79" i="35"/>
  <c r="M79" i="35"/>
  <c r="U78" i="35"/>
  <c r="M78" i="35"/>
  <c r="U77" i="35"/>
  <c r="M77" i="35"/>
  <c r="U76" i="35"/>
  <c r="M76" i="35"/>
  <c r="U75" i="35"/>
  <c r="M75" i="35"/>
  <c r="U74" i="35"/>
  <c r="M74" i="35"/>
  <c r="U73" i="35"/>
  <c r="M73" i="35"/>
  <c r="U72" i="35"/>
  <c r="M72" i="35"/>
  <c r="U71" i="35"/>
  <c r="M71" i="35"/>
  <c r="U70" i="35"/>
  <c r="M70" i="35"/>
  <c r="U69" i="35"/>
  <c r="M69" i="35"/>
  <c r="U68" i="35"/>
  <c r="M68" i="35"/>
  <c r="U67" i="35"/>
  <c r="M67" i="35"/>
  <c r="U66" i="35"/>
  <c r="M66" i="35"/>
  <c r="U65" i="35"/>
  <c r="M65" i="35"/>
  <c r="U64" i="35"/>
  <c r="M64" i="35"/>
  <c r="U63" i="35"/>
  <c r="M63" i="35"/>
  <c r="U62" i="35"/>
  <c r="U61" i="35"/>
  <c r="M61" i="35"/>
  <c r="U60" i="35"/>
  <c r="M60" i="35"/>
  <c r="U59" i="35"/>
  <c r="M59" i="35"/>
  <c r="U58" i="35"/>
  <c r="U57" i="35"/>
  <c r="U56" i="35"/>
  <c r="U55" i="35"/>
  <c r="U54" i="35"/>
  <c r="U53" i="35"/>
  <c r="U52" i="35"/>
  <c r="U51" i="35"/>
  <c r="U50" i="35"/>
  <c r="U49" i="35"/>
  <c r="U48" i="35"/>
  <c r="U47" i="35"/>
  <c r="U46" i="35"/>
  <c r="U45" i="35"/>
  <c r="Q44" i="35"/>
  <c r="Q99" i="35" s="1"/>
  <c r="B5" i="32" s="1"/>
  <c r="U43" i="35"/>
  <c r="U42" i="35"/>
  <c r="U41" i="35"/>
  <c r="U40" i="35"/>
  <c r="U39" i="35"/>
  <c r="U38" i="35"/>
  <c r="U37" i="35"/>
  <c r="U36" i="35"/>
  <c r="U35" i="35"/>
  <c r="U34" i="35"/>
  <c r="U33" i="35"/>
  <c r="U32" i="35"/>
  <c r="U31" i="35"/>
  <c r="U30" i="35"/>
  <c r="U29" i="35"/>
  <c r="U28" i="35"/>
  <c r="U27" i="35"/>
  <c r="U26" i="35"/>
  <c r="U25" i="35"/>
  <c r="U24" i="35"/>
  <c r="U22" i="35"/>
  <c r="U21" i="35"/>
  <c r="U20" i="35"/>
  <c r="U19" i="35"/>
  <c r="U18" i="35"/>
  <c r="M18" i="35"/>
  <c r="U17" i="35"/>
  <c r="M17" i="35"/>
  <c r="U16" i="35"/>
  <c r="M16" i="35"/>
  <c r="U15" i="35"/>
  <c r="M15" i="35"/>
  <c r="U14" i="35"/>
  <c r="M14" i="35"/>
  <c r="U13" i="35"/>
  <c r="M13" i="35"/>
  <c r="U12" i="35"/>
  <c r="M12" i="35"/>
  <c r="AN11" i="35"/>
  <c r="U11" i="35"/>
  <c r="M11" i="35"/>
  <c r="AN10" i="35"/>
  <c r="U10" i="35"/>
  <c r="M10" i="35"/>
  <c r="Q16" i="18"/>
  <c r="Q15" i="18"/>
  <c r="Q14" i="18"/>
  <c r="Q10" i="18"/>
  <c r="U44" i="35" l="1"/>
  <c r="Q59" i="34"/>
  <c r="B4" i="32" s="1"/>
  <c r="AN58" i="34"/>
  <c r="M58" i="34"/>
  <c r="AN57" i="34"/>
  <c r="M57" i="34"/>
  <c r="AN56" i="34"/>
  <c r="M56" i="34"/>
  <c r="AN55" i="34"/>
  <c r="M55" i="34"/>
  <c r="AN54" i="34"/>
  <c r="M54" i="34"/>
  <c r="AN53" i="34"/>
  <c r="M53" i="34"/>
  <c r="AN52" i="34"/>
  <c r="M52" i="34"/>
  <c r="AN51" i="34"/>
  <c r="M51" i="34"/>
  <c r="AN50" i="34"/>
  <c r="M50" i="34"/>
  <c r="AN49" i="34"/>
  <c r="M49" i="34"/>
  <c r="AN48" i="34"/>
  <c r="M48" i="34"/>
  <c r="AN47" i="34"/>
  <c r="M47" i="34"/>
  <c r="AN46" i="34"/>
  <c r="M46" i="34"/>
  <c r="AN45" i="34"/>
  <c r="M45" i="34"/>
  <c r="AN44" i="34"/>
  <c r="M44" i="34"/>
  <c r="AN43" i="34"/>
  <c r="M43" i="34"/>
  <c r="AN42" i="34"/>
  <c r="M42" i="34"/>
  <c r="AN41" i="34"/>
  <c r="M41" i="34"/>
  <c r="AN40" i="34"/>
  <c r="M40" i="34"/>
  <c r="AN39" i="34"/>
  <c r="M39" i="34"/>
  <c r="AN38" i="34"/>
  <c r="M38" i="34"/>
  <c r="AN37" i="34"/>
  <c r="M37" i="34"/>
  <c r="AN36" i="34"/>
  <c r="M36" i="34"/>
  <c r="AN35" i="34"/>
  <c r="M35" i="34"/>
  <c r="AN34" i="34"/>
  <c r="M34" i="34"/>
  <c r="AN33" i="34"/>
  <c r="M33" i="34"/>
  <c r="AN32" i="34"/>
  <c r="M32" i="34"/>
  <c r="AN31" i="34"/>
  <c r="M31" i="34"/>
  <c r="M30" i="34"/>
  <c r="M29" i="34"/>
  <c r="M28" i="34"/>
  <c r="M27" i="34"/>
  <c r="M26" i="34"/>
  <c r="M25" i="34"/>
  <c r="M24" i="34"/>
  <c r="M23" i="34"/>
  <c r="M22" i="34"/>
  <c r="M21" i="34"/>
  <c r="M20" i="34"/>
  <c r="M19" i="34"/>
  <c r="M18" i="34"/>
  <c r="M17" i="34"/>
  <c r="Q217" i="33" l="1"/>
  <c r="B13" i="32" s="1"/>
  <c r="AN216" i="33"/>
  <c r="M216" i="33"/>
  <c r="AN215" i="33"/>
  <c r="M215" i="33"/>
  <c r="AN214" i="33"/>
  <c r="M214" i="33"/>
  <c r="AN213" i="33"/>
  <c r="M213" i="33"/>
  <c r="AN212" i="33"/>
  <c r="M212" i="33"/>
  <c r="AN211" i="33"/>
  <c r="M211" i="33"/>
  <c r="AN210" i="33"/>
  <c r="M210" i="33"/>
  <c r="AN209" i="33"/>
  <c r="M209" i="33"/>
  <c r="AN208" i="33"/>
  <c r="M208" i="33"/>
  <c r="AN207" i="33"/>
  <c r="M207" i="33"/>
  <c r="AN206" i="33"/>
  <c r="M206" i="33"/>
  <c r="AN205" i="33"/>
  <c r="M205" i="33"/>
  <c r="AN204" i="33"/>
  <c r="M204" i="33"/>
  <c r="AN203" i="33"/>
  <c r="M203" i="33"/>
  <c r="AN202" i="33"/>
  <c r="M202" i="33"/>
  <c r="AN201" i="33"/>
  <c r="M201" i="33"/>
  <c r="AN200" i="33"/>
  <c r="M200" i="33"/>
  <c r="AN199" i="33"/>
  <c r="M199" i="33"/>
  <c r="AN198" i="33"/>
  <c r="M198" i="33"/>
  <c r="AN197" i="33"/>
  <c r="M197" i="33"/>
  <c r="AN196" i="33"/>
  <c r="M196" i="33"/>
  <c r="AN195" i="33"/>
  <c r="M195" i="33"/>
  <c r="AN194" i="33"/>
  <c r="M194" i="33"/>
  <c r="AN193" i="33"/>
  <c r="M193" i="33"/>
  <c r="AN192" i="33"/>
  <c r="M192" i="33"/>
  <c r="AN191" i="33"/>
  <c r="M191" i="33"/>
  <c r="AN190" i="33"/>
  <c r="M190" i="33"/>
  <c r="AN189" i="33"/>
  <c r="M189" i="33"/>
  <c r="AN188" i="33"/>
  <c r="M188" i="33"/>
  <c r="AN187" i="33"/>
  <c r="M187" i="33"/>
  <c r="AN186" i="33"/>
  <c r="M186" i="33"/>
  <c r="AN185" i="33"/>
  <c r="M185" i="33"/>
  <c r="AN184" i="33"/>
  <c r="M184" i="33"/>
  <c r="AN183" i="33"/>
  <c r="M183" i="33"/>
  <c r="AN182" i="33"/>
  <c r="M182" i="33"/>
  <c r="AN181" i="33"/>
  <c r="M181" i="33"/>
  <c r="AN180" i="33"/>
  <c r="M180" i="33"/>
  <c r="AN179" i="33"/>
  <c r="M179" i="33"/>
  <c r="AN178" i="33"/>
  <c r="M178" i="33"/>
  <c r="AN177" i="33"/>
  <c r="M177" i="33"/>
  <c r="AN176" i="33"/>
  <c r="M176" i="33"/>
  <c r="AN175" i="33"/>
  <c r="M175" i="33"/>
  <c r="AN174" i="33"/>
  <c r="M174" i="33"/>
  <c r="AN173" i="33"/>
  <c r="M173" i="33"/>
  <c r="AN172" i="33"/>
  <c r="M172" i="33"/>
  <c r="AN171" i="33"/>
  <c r="M171" i="33"/>
  <c r="AN170" i="33"/>
  <c r="M170" i="33"/>
  <c r="AN169" i="33"/>
  <c r="M169" i="33"/>
  <c r="AN168" i="33"/>
  <c r="M168" i="33"/>
  <c r="AN167" i="33"/>
  <c r="M167" i="33"/>
  <c r="AN166" i="33"/>
  <c r="M166" i="33"/>
  <c r="AN165" i="33"/>
  <c r="M165" i="33"/>
  <c r="AN164" i="33"/>
  <c r="M164" i="33"/>
  <c r="AN163" i="33"/>
  <c r="M163" i="33"/>
  <c r="AN162" i="33"/>
  <c r="M162" i="33"/>
  <c r="AN161" i="33"/>
  <c r="M161" i="33"/>
  <c r="AN160" i="33"/>
  <c r="M160" i="33"/>
  <c r="AN159" i="33"/>
  <c r="M159" i="33"/>
  <c r="AN158" i="33"/>
  <c r="M158" i="33"/>
  <c r="AN157" i="33"/>
  <c r="M157" i="33"/>
  <c r="AN156" i="33"/>
  <c r="M156" i="33"/>
  <c r="AN155" i="33"/>
  <c r="M155" i="33"/>
  <c r="AN154" i="33"/>
  <c r="M154" i="33"/>
  <c r="AN153" i="33"/>
  <c r="M153" i="33"/>
  <c r="AN152" i="33"/>
  <c r="M152" i="33"/>
  <c r="AN151" i="33"/>
  <c r="M151" i="33"/>
  <c r="AN150" i="33"/>
  <c r="M150" i="33"/>
  <c r="AN149" i="33"/>
  <c r="M149" i="33"/>
  <c r="AN148" i="33"/>
  <c r="M148" i="33"/>
  <c r="AN147" i="33"/>
  <c r="M147" i="33"/>
  <c r="AN146" i="33"/>
  <c r="M146" i="33"/>
  <c r="AN145" i="33"/>
  <c r="M145" i="33"/>
  <c r="AN144" i="33"/>
  <c r="M144" i="33"/>
  <c r="M143" i="33"/>
  <c r="M142" i="33"/>
  <c r="M141" i="33"/>
  <c r="M140" i="33"/>
  <c r="M139" i="33"/>
  <c r="M138" i="33"/>
  <c r="AN137" i="33"/>
  <c r="M137" i="33"/>
  <c r="AN136" i="33"/>
  <c r="M136" i="33"/>
  <c r="AN135" i="33"/>
  <c r="M135" i="33"/>
  <c r="AN134" i="33"/>
  <c r="M134" i="33"/>
  <c r="AN133" i="33"/>
  <c r="M133" i="33"/>
  <c r="AN132" i="33"/>
  <c r="M132" i="33"/>
  <c r="AN131" i="33"/>
  <c r="M131" i="33"/>
  <c r="AN130" i="33"/>
  <c r="M130" i="33"/>
  <c r="AN129" i="33"/>
  <c r="M128" i="33"/>
  <c r="M127" i="33"/>
  <c r="M126" i="33"/>
  <c r="M125" i="33"/>
  <c r="M124" i="33"/>
  <c r="M123" i="33"/>
  <c r="M122" i="33"/>
  <c r="M121" i="33"/>
  <c r="M120" i="33"/>
  <c r="M119" i="33"/>
  <c r="M118" i="33"/>
  <c r="M117" i="33"/>
  <c r="M116" i="33"/>
  <c r="M115" i="33"/>
  <c r="M114" i="33"/>
  <c r="M113" i="33"/>
  <c r="M112" i="33"/>
  <c r="M111" i="33"/>
  <c r="M110" i="33"/>
  <c r="M109" i="33"/>
  <c r="M108" i="33"/>
  <c r="M107" i="33"/>
  <c r="M106" i="33"/>
  <c r="M105" i="33"/>
  <c r="M104" i="33"/>
  <c r="M103" i="33"/>
  <c r="M102" i="33"/>
  <c r="M101" i="33"/>
  <c r="M100" i="33"/>
  <c r="M99" i="33"/>
  <c r="M98" i="33"/>
  <c r="M97" i="33"/>
  <c r="M96" i="33"/>
  <c r="M95" i="33"/>
  <c r="M94" i="33"/>
  <c r="M93" i="33"/>
  <c r="M92" i="33"/>
  <c r="M91" i="33"/>
  <c r="M90" i="33"/>
  <c r="M89" i="33"/>
  <c r="M88" i="33"/>
  <c r="M87" i="33"/>
  <c r="M86" i="33"/>
  <c r="M85" i="33"/>
  <c r="M84" i="33"/>
  <c r="M83" i="33"/>
  <c r="M82" i="33"/>
  <c r="M81" i="33"/>
  <c r="M80" i="33"/>
  <c r="M79" i="33"/>
  <c r="M78" i="33"/>
  <c r="M77" i="33"/>
  <c r="M76" i="33"/>
  <c r="M75" i="33"/>
  <c r="M74" i="33"/>
  <c r="M73" i="33"/>
  <c r="M72" i="33"/>
  <c r="M71" i="33"/>
  <c r="M70" i="33"/>
  <c r="M69" i="33"/>
  <c r="M68" i="33"/>
  <c r="M67" i="33"/>
  <c r="M66" i="33"/>
  <c r="M65" i="33"/>
  <c r="M64" i="33"/>
  <c r="M63" i="33"/>
  <c r="M62" i="33"/>
  <c r="M61" i="33"/>
  <c r="M60" i="33"/>
  <c r="M59" i="33"/>
  <c r="M58" i="33"/>
  <c r="M57" i="33"/>
  <c r="M56" i="33"/>
  <c r="M55" i="33"/>
  <c r="M54" i="33"/>
  <c r="M53" i="33"/>
  <c r="M52" i="33"/>
  <c r="M51" i="33"/>
  <c r="M50" i="33"/>
  <c r="M49" i="33"/>
  <c r="M48" i="33"/>
  <c r="M47" i="33"/>
  <c r="M46" i="33"/>
  <c r="M45" i="33"/>
  <c r="M44" i="33"/>
  <c r="M43" i="33"/>
  <c r="M42" i="33"/>
  <c r="M41" i="33"/>
  <c r="M40" i="33"/>
  <c r="M39" i="33"/>
  <c r="M38" i="33"/>
  <c r="M37" i="33"/>
  <c r="M36" i="33"/>
  <c r="M35" i="33"/>
  <c r="M34" i="33"/>
  <c r="M33" i="33"/>
  <c r="M32" i="33"/>
  <c r="AN31" i="33"/>
  <c r="M31" i="33"/>
  <c r="AN30" i="33"/>
  <c r="M30" i="33"/>
  <c r="AN29" i="33"/>
  <c r="M29" i="33"/>
  <c r="AN28" i="33"/>
  <c r="M28" i="33"/>
  <c r="AN27" i="33"/>
  <c r="M27" i="33"/>
  <c r="AN26" i="33"/>
  <c r="M26" i="33"/>
  <c r="AN25" i="33"/>
  <c r="M25" i="33"/>
  <c r="AN24" i="33"/>
  <c r="M24" i="33"/>
  <c r="AN23" i="33"/>
  <c r="M23" i="33"/>
  <c r="AN22" i="33"/>
  <c r="M22" i="33"/>
  <c r="AN21" i="33"/>
  <c r="M21" i="33"/>
  <c r="AN20" i="33"/>
  <c r="M20" i="33"/>
  <c r="AN19" i="33"/>
  <c r="M19" i="33"/>
  <c r="AN18" i="33"/>
  <c r="M18" i="33"/>
  <c r="AN17" i="33"/>
  <c r="M17" i="33"/>
  <c r="AN16" i="33"/>
  <c r="M16" i="33"/>
  <c r="AN15" i="33"/>
  <c r="M15" i="33"/>
  <c r="AN14" i="33"/>
  <c r="M14" i="33"/>
  <c r="AN13" i="33"/>
  <c r="M13" i="33"/>
  <c r="AN12" i="33"/>
  <c r="M12" i="33"/>
  <c r="AN11" i="33"/>
  <c r="M11" i="33"/>
  <c r="AN10" i="33"/>
  <c r="M10" i="33"/>
  <c r="D15" i="32" l="1"/>
  <c r="D21" i="32"/>
  <c r="O34" i="31"/>
  <c r="B20" i="32" s="1"/>
  <c r="AH33" i="31"/>
  <c r="AH32" i="31"/>
  <c r="AH31" i="31"/>
  <c r="AH30" i="31"/>
  <c r="AH29" i="31"/>
  <c r="AH28" i="31"/>
  <c r="AH27" i="31"/>
  <c r="AH26" i="31"/>
  <c r="AH25" i="31"/>
  <c r="AH24" i="31"/>
  <c r="AH23" i="31"/>
  <c r="AH22" i="31"/>
  <c r="AH21" i="31"/>
  <c r="AH20" i="31"/>
  <c r="AH19" i="31"/>
  <c r="AH18" i="31"/>
  <c r="AH17" i="31"/>
  <c r="AH16" i="31"/>
  <c r="AH15" i="31"/>
  <c r="AH14" i="31"/>
  <c r="AH13" i="31"/>
  <c r="AH12" i="31"/>
  <c r="AH11" i="31"/>
  <c r="AH10" i="31"/>
  <c r="D23" i="32" l="1"/>
  <c r="Q67" i="30"/>
  <c r="B19" i="32" s="1"/>
  <c r="AN66" i="30"/>
  <c r="U66" i="30"/>
  <c r="M66" i="30"/>
  <c r="AN65" i="30"/>
  <c r="U65" i="30"/>
  <c r="M65" i="30"/>
  <c r="AN64" i="30"/>
  <c r="U64" i="30"/>
  <c r="M64" i="30"/>
  <c r="AN63" i="30"/>
  <c r="U63" i="30"/>
  <c r="M63" i="30"/>
  <c r="AN62" i="30"/>
  <c r="U62" i="30"/>
  <c r="M62" i="30"/>
  <c r="AN61" i="30"/>
  <c r="U61" i="30"/>
  <c r="M61" i="30"/>
  <c r="AN60" i="30"/>
  <c r="U60" i="30"/>
  <c r="M60" i="30"/>
  <c r="AN59" i="30"/>
  <c r="U59" i="30"/>
  <c r="M59" i="30"/>
  <c r="AN58" i="30"/>
  <c r="U58" i="30"/>
  <c r="M58" i="30"/>
  <c r="AN57" i="30"/>
  <c r="U57" i="30"/>
  <c r="M57" i="30"/>
  <c r="AN56" i="30"/>
  <c r="U56" i="30"/>
  <c r="M56" i="30"/>
  <c r="AN55" i="30"/>
  <c r="U55" i="30"/>
  <c r="M55" i="30"/>
  <c r="AN54" i="30"/>
  <c r="U54" i="30"/>
  <c r="M54" i="30"/>
  <c r="AN53" i="30"/>
  <c r="U53" i="30"/>
  <c r="M53" i="30"/>
  <c r="AN52" i="30"/>
  <c r="U52" i="30"/>
  <c r="M52" i="30"/>
  <c r="AN51" i="30"/>
  <c r="U51" i="30"/>
  <c r="M51" i="30"/>
  <c r="AN50" i="30"/>
  <c r="U50" i="30"/>
  <c r="M50" i="30"/>
  <c r="AN49" i="30"/>
  <c r="U49" i="30"/>
  <c r="M49" i="30"/>
  <c r="AN48" i="30"/>
  <c r="U48" i="30"/>
  <c r="M48" i="30"/>
  <c r="AN47" i="30"/>
  <c r="U47" i="30"/>
  <c r="M47" i="30"/>
  <c r="AN46" i="30"/>
  <c r="U46" i="30"/>
  <c r="M46" i="30"/>
  <c r="AN45" i="30"/>
  <c r="U45" i="30"/>
  <c r="M45" i="30"/>
  <c r="AN44" i="30"/>
  <c r="U44" i="30"/>
  <c r="M44" i="30"/>
  <c r="AN43" i="30"/>
  <c r="U43" i="30"/>
  <c r="M43" i="30"/>
  <c r="AN42" i="30"/>
  <c r="U42" i="30"/>
  <c r="M42" i="30"/>
  <c r="AN41" i="30"/>
  <c r="U41" i="30"/>
  <c r="M41" i="30"/>
  <c r="AN40" i="30"/>
  <c r="U40" i="30"/>
  <c r="M40" i="30"/>
  <c r="AN39" i="30"/>
  <c r="U39" i="30"/>
  <c r="M39" i="30"/>
  <c r="AN38" i="30"/>
  <c r="U38" i="30"/>
  <c r="M38" i="30"/>
  <c r="AN37" i="30"/>
  <c r="U37" i="30"/>
  <c r="M37" i="30"/>
  <c r="AN36" i="30"/>
  <c r="U36" i="30"/>
  <c r="M36" i="30"/>
  <c r="AN35" i="30"/>
  <c r="U35" i="30"/>
  <c r="M35" i="30"/>
  <c r="AN34" i="30"/>
  <c r="U34" i="30"/>
  <c r="M34" i="30"/>
  <c r="AN33" i="30"/>
  <c r="U33" i="30"/>
  <c r="M33" i="30"/>
  <c r="AN32" i="30"/>
  <c r="U32" i="30"/>
  <c r="M32" i="30"/>
  <c r="AN31" i="30"/>
  <c r="U31" i="30"/>
  <c r="M31" i="30"/>
  <c r="AN30" i="30"/>
  <c r="U30" i="30"/>
  <c r="M30" i="30"/>
  <c r="AN29" i="30"/>
  <c r="U29" i="30"/>
  <c r="M29" i="30"/>
  <c r="AN28" i="30"/>
  <c r="U28" i="30"/>
  <c r="M28" i="30"/>
  <c r="AN27" i="30"/>
  <c r="U27" i="30"/>
  <c r="M27" i="30"/>
  <c r="AN26" i="30"/>
  <c r="U26" i="30"/>
  <c r="M26" i="30"/>
  <c r="AN25" i="30"/>
  <c r="U25" i="30"/>
  <c r="M25" i="30"/>
  <c r="AN24" i="30"/>
  <c r="U24" i="30"/>
  <c r="M24" i="30"/>
  <c r="AN23" i="30"/>
  <c r="U23" i="30"/>
  <c r="M23" i="30"/>
  <c r="AN22" i="30"/>
  <c r="U22" i="30"/>
  <c r="M22" i="30"/>
  <c r="AN21" i="30"/>
  <c r="U21" i="30"/>
  <c r="M21" i="30"/>
  <c r="AN20" i="30"/>
  <c r="U20" i="30"/>
  <c r="M20" i="30"/>
  <c r="AN19" i="30"/>
  <c r="U19" i="30"/>
  <c r="M19" i="30"/>
  <c r="AN18" i="30"/>
  <c r="U18" i="30"/>
  <c r="M18" i="30"/>
  <c r="AN17" i="30"/>
  <c r="U17" i="30"/>
  <c r="M17" i="30"/>
  <c r="AN16" i="30"/>
  <c r="U16" i="30"/>
  <c r="M16" i="30"/>
  <c r="AN15" i="30"/>
  <c r="U15" i="30"/>
  <c r="M15" i="30"/>
  <c r="AN14" i="30"/>
  <c r="U14" i="30"/>
  <c r="M14" i="30"/>
  <c r="AN13" i="30"/>
  <c r="U13" i="30"/>
  <c r="M13" i="30"/>
  <c r="AN12" i="30"/>
  <c r="U12" i="30"/>
  <c r="M12" i="30"/>
  <c r="AN11" i="30"/>
  <c r="U11" i="30"/>
  <c r="M11" i="30"/>
  <c r="AN10" i="30"/>
  <c r="U10" i="30"/>
  <c r="M10" i="30"/>
  <c r="U22" i="29" l="1"/>
  <c r="Q22" i="29"/>
  <c r="B18" i="32" s="1"/>
  <c r="B21" i="32" s="1"/>
  <c r="AN21" i="29"/>
  <c r="M21" i="29"/>
  <c r="AN20" i="29"/>
  <c r="M20" i="29"/>
  <c r="AN19" i="29"/>
  <c r="M19" i="29"/>
  <c r="AN18" i="29"/>
  <c r="M18" i="29"/>
  <c r="AN17" i="29"/>
  <c r="M17" i="29"/>
  <c r="AN16" i="29"/>
  <c r="M16" i="29"/>
  <c r="AN15" i="29"/>
  <c r="M15" i="29"/>
  <c r="AN14" i="29"/>
  <c r="AN13" i="29"/>
  <c r="AN12" i="29"/>
  <c r="AN11" i="29"/>
  <c r="M11" i="29"/>
  <c r="AN10" i="29"/>
  <c r="M10" i="29"/>
  <c r="C18" i="32" l="1"/>
  <c r="C20" i="32"/>
  <c r="C19" i="32"/>
  <c r="Q26" i="28"/>
  <c r="B10" i="32" s="1"/>
  <c r="M11" i="28"/>
  <c r="M10" i="28"/>
  <c r="C21" i="32" l="1"/>
  <c r="AC40" i="26"/>
  <c r="AN40" i="26" s="1"/>
  <c r="U40" i="26"/>
  <c r="M40" i="26"/>
  <c r="AC39" i="26"/>
  <c r="AN39" i="26" s="1"/>
  <c r="U39" i="26"/>
  <c r="M39" i="26"/>
  <c r="AC38" i="26"/>
  <c r="AN38" i="26" s="1"/>
  <c r="U38" i="26"/>
  <c r="M38" i="26"/>
  <c r="AC37" i="26"/>
  <c r="AN37" i="26" s="1"/>
  <c r="U37" i="26"/>
  <c r="M37" i="26"/>
  <c r="AC36" i="26"/>
  <c r="AN36" i="26" s="1"/>
  <c r="M36" i="26"/>
  <c r="AC35" i="26"/>
  <c r="AN35" i="26" s="1"/>
  <c r="M35" i="26"/>
  <c r="AC34" i="26"/>
  <c r="AN34" i="26" s="1"/>
  <c r="U34" i="26"/>
  <c r="M34" i="26"/>
  <c r="AC33" i="26"/>
  <c r="AN33" i="26" s="1"/>
  <c r="Q33" i="26"/>
  <c r="U33" i="26" s="1"/>
  <c r="M33" i="26"/>
  <c r="AC32" i="26"/>
  <c r="AN32" i="26" s="1"/>
  <c r="U32" i="26"/>
  <c r="M32" i="26"/>
  <c r="AC31" i="26"/>
  <c r="AN31" i="26" s="1"/>
  <c r="U31" i="26"/>
  <c r="M31" i="26"/>
  <c r="AC30" i="26"/>
  <c r="AN30" i="26" s="1"/>
  <c r="U30" i="26"/>
  <c r="M30" i="26"/>
  <c r="AN29" i="26"/>
  <c r="U29" i="26"/>
  <c r="M29" i="26"/>
  <c r="AN28" i="26"/>
  <c r="U28" i="26"/>
  <c r="M28" i="26"/>
  <c r="AN27" i="26"/>
  <c r="U27" i="26"/>
  <c r="M27" i="26"/>
  <c r="AN26" i="26"/>
  <c r="U26" i="26"/>
  <c r="M26" i="26"/>
  <c r="AN25" i="26"/>
  <c r="U25" i="26"/>
  <c r="M25" i="26"/>
  <c r="AN24" i="26"/>
  <c r="U24" i="26"/>
  <c r="M24" i="26"/>
  <c r="AN23" i="26"/>
  <c r="U23" i="26"/>
  <c r="M23" i="26"/>
  <c r="AN22" i="26"/>
  <c r="Q22" i="26"/>
  <c r="U22" i="26" s="1"/>
  <c r="M22" i="26"/>
  <c r="AN21" i="26"/>
  <c r="Q21" i="26"/>
  <c r="U21" i="26" s="1"/>
  <c r="M21" i="26"/>
  <c r="AN20" i="26"/>
  <c r="U20" i="26"/>
  <c r="M20" i="26"/>
  <c r="AC19" i="26"/>
  <c r="AN19" i="26" s="1"/>
  <c r="U19" i="26"/>
  <c r="AN18" i="26"/>
  <c r="U18" i="26"/>
  <c r="M18" i="26"/>
  <c r="AN17" i="26"/>
  <c r="U17" i="26"/>
  <c r="M17" i="26"/>
  <c r="AN16" i="26"/>
  <c r="U16" i="26"/>
  <c r="M16" i="26"/>
  <c r="AN15" i="26"/>
  <c r="U15" i="26"/>
  <c r="M15" i="26"/>
  <c r="AC14" i="26"/>
  <c r="AN14" i="26" s="1"/>
  <c r="U14" i="26"/>
  <c r="M14" i="26"/>
  <c r="AC13" i="26"/>
  <c r="AN13" i="26" s="1"/>
  <c r="U13" i="26"/>
  <c r="M13" i="26"/>
  <c r="AC12" i="26"/>
  <c r="AN12" i="26" s="1"/>
  <c r="U12" i="26"/>
  <c r="M12" i="26"/>
  <c r="AC11" i="26"/>
  <c r="AN11" i="26" s="1"/>
  <c r="U11" i="26"/>
  <c r="M11" i="26"/>
  <c r="AC10" i="26"/>
  <c r="AN10" i="26" s="1"/>
  <c r="U10" i="26"/>
  <c r="M10" i="26"/>
  <c r="Q41" i="26" l="1"/>
  <c r="B9" i="32" s="1"/>
  <c r="Q32" i="25"/>
  <c r="B14" i="32" s="1"/>
  <c r="M31" i="25"/>
  <c r="M30" i="25"/>
  <c r="M28" i="25"/>
  <c r="M27" i="25"/>
  <c r="M26" i="25"/>
  <c r="M25" i="25"/>
  <c r="M24" i="25"/>
  <c r="M23" i="25"/>
  <c r="M22" i="25"/>
  <c r="M21" i="25"/>
  <c r="M20" i="25"/>
  <c r="M19" i="25"/>
  <c r="M18" i="25"/>
  <c r="M17" i="25"/>
  <c r="M16" i="25"/>
  <c r="M15" i="25"/>
  <c r="M14" i="25"/>
  <c r="M13" i="25"/>
  <c r="M12" i="25"/>
  <c r="M11" i="25"/>
  <c r="M10" i="25"/>
  <c r="Q116" i="24" l="1"/>
  <c r="B6" i="32" s="1"/>
  <c r="AN115" i="24"/>
  <c r="M115" i="24"/>
  <c r="AN114" i="24"/>
  <c r="M114" i="24"/>
  <c r="AN113" i="24"/>
  <c r="M113" i="24"/>
  <c r="AN112" i="24"/>
  <c r="M112" i="24"/>
  <c r="AN111" i="24"/>
  <c r="M111" i="24"/>
  <c r="AN110" i="24"/>
  <c r="M110" i="24"/>
  <c r="AN109" i="24"/>
  <c r="M109" i="24"/>
  <c r="AN108" i="24"/>
  <c r="M108" i="24"/>
  <c r="AN107" i="24"/>
  <c r="M107" i="24"/>
  <c r="AN106" i="24"/>
  <c r="M106" i="24"/>
  <c r="AN105" i="24"/>
  <c r="M105" i="24"/>
  <c r="AN104" i="24"/>
  <c r="M104" i="24"/>
  <c r="AN103" i="24"/>
  <c r="M103" i="24"/>
  <c r="AN102" i="24"/>
  <c r="M102" i="24"/>
  <c r="AN101" i="24"/>
  <c r="M101" i="24"/>
  <c r="AN100" i="24"/>
  <c r="M100" i="24"/>
  <c r="AN99" i="24"/>
  <c r="M99" i="24"/>
  <c r="AN98" i="24"/>
  <c r="M98" i="24"/>
  <c r="AN97" i="24"/>
  <c r="M97" i="24"/>
  <c r="AN96" i="24"/>
  <c r="M96" i="24"/>
  <c r="AN95" i="24"/>
  <c r="M95" i="24"/>
  <c r="AN94" i="24"/>
  <c r="M94" i="24"/>
  <c r="AN93" i="24"/>
  <c r="M93" i="24"/>
  <c r="AN92" i="24"/>
  <c r="M92" i="24"/>
  <c r="AN91" i="24"/>
  <c r="M91" i="24"/>
  <c r="AN90" i="24"/>
  <c r="M90" i="24"/>
  <c r="AN89" i="24"/>
  <c r="M89" i="24"/>
  <c r="AN88" i="24"/>
  <c r="M88" i="24"/>
  <c r="AN87" i="24"/>
  <c r="M87" i="24"/>
  <c r="AN86" i="24"/>
  <c r="M86" i="24"/>
  <c r="AN85" i="24"/>
  <c r="M85" i="24"/>
  <c r="AN84" i="24"/>
  <c r="M84" i="24"/>
  <c r="AN83" i="24"/>
  <c r="M83" i="24"/>
  <c r="AN82" i="24"/>
  <c r="M82" i="24"/>
  <c r="AN81" i="24"/>
  <c r="M81" i="24"/>
  <c r="AN80" i="24"/>
  <c r="M80" i="24"/>
  <c r="AN79" i="24"/>
  <c r="M79" i="24"/>
  <c r="AN78" i="24"/>
  <c r="M78" i="24"/>
  <c r="AN77" i="24"/>
  <c r="M77" i="24"/>
  <c r="AN76" i="24"/>
  <c r="M76" i="24"/>
  <c r="AN75" i="24"/>
  <c r="M75" i="24"/>
  <c r="AN74" i="24"/>
  <c r="M74" i="24"/>
  <c r="AN73" i="24"/>
  <c r="M73" i="24"/>
  <c r="AN72" i="24"/>
  <c r="M72" i="24"/>
  <c r="AN71" i="24"/>
  <c r="M71" i="24"/>
  <c r="AN70" i="24"/>
  <c r="AN69" i="24"/>
  <c r="AN68" i="24"/>
  <c r="AN67" i="24"/>
  <c r="M67" i="24"/>
  <c r="AN66" i="24"/>
  <c r="M66" i="24"/>
  <c r="AN65" i="24"/>
  <c r="M65" i="24"/>
  <c r="AN64" i="24"/>
  <c r="M64" i="24"/>
  <c r="AN63" i="24"/>
  <c r="M63" i="24"/>
  <c r="AN62" i="24"/>
  <c r="M62" i="24"/>
  <c r="AN61" i="24"/>
  <c r="AN60" i="24"/>
  <c r="AN59" i="24"/>
  <c r="M59" i="24"/>
  <c r="AN58" i="24"/>
  <c r="M58" i="24"/>
  <c r="AN57" i="24"/>
  <c r="M57" i="24"/>
  <c r="AN56" i="24"/>
  <c r="M56" i="24"/>
  <c r="AN55" i="24"/>
  <c r="M55" i="24"/>
  <c r="AN54" i="24"/>
  <c r="M54" i="24"/>
  <c r="AN53" i="24"/>
  <c r="M53" i="24"/>
  <c r="AN52" i="24"/>
  <c r="M52" i="24"/>
  <c r="AN51" i="24"/>
  <c r="M51" i="24"/>
  <c r="AN50" i="24"/>
  <c r="M50" i="24"/>
  <c r="AN49" i="24"/>
  <c r="M49" i="24"/>
  <c r="AN48" i="24"/>
  <c r="M48" i="24"/>
  <c r="AN47" i="24"/>
  <c r="M47" i="24"/>
  <c r="AN46" i="24"/>
  <c r="M46" i="24"/>
  <c r="AN45" i="24"/>
  <c r="M45" i="24"/>
  <c r="AN44" i="24"/>
  <c r="M44" i="24"/>
  <c r="AN43" i="24"/>
  <c r="M43" i="24"/>
  <c r="AN42" i="24"/>
  <c r="M42" i="24"/>
  <c r="AN41" i="24"/>
  <c r="M41" i="24"/>
  <c r="AN40" i="24"/>
  <c r="M40" i="24"/>
  <c r="AN39" i="24"/>
  <c r="M39" i="24"/>
  <c r="AN38" i="24"/>
  <c r="M38" i="24"/>
  <c r="AN37" i="24"/>
  <c r="M37" i="24"/>
  <c r="AN36" i="24"/>
  <c r="M36" i="24"/>
  <c r="AN35" i="24"/>
  <c r="M35" i="24"/>
  <c r="AN34" i="24"/>
  <c r="M34" i="24"/>
  <c r="AN33" i="24"/>
  <c r="M33" i="24"/>
  <c r="AN32" i="24"/>
  <c r="M32" i="24"/>
  <c r="AN31" i="24"/>
  <c r="M31" i="24"/>
  <c r="AN30" i="24"/>
  <c r="M30" i="24"/>
  <c r="AN29" i="24"/>
  <c r="M29" i="24"/>
  <c r="AN28" i="24"/>
  <c r="M28" i="24"/>
  <c r="AN27" i="24"/>
  <c r="M27" i="24"/>
  <c r="AN26" i="24"/>
  <c r="M26" i="24"/>
  <c r="AN25" i="24"/>
  <c r="M25" i="24"/>
  <c r="AN24" i="24"/>
  <c r="M24" i="24"/>
  <c r="M23" i="24"/>
  <c r="M22" i="24"/>
  <c r="M21" i="24"/>
  <c r="M20" i="24"/>
  <c r="M19" i="24"/>
  <c r="AN18" i="24"/>
  <c r="M18" i="24"/>
  <c r="AN17" i="24"/>
  <c r="M17" i="24"/>
  <c r="AN16" i="24"/>
  <c r="M16" i="24"/>
  <c r="AN15" i="24"/>
  <c r="M15" i="24"/>
  <c r="AN14" i="24"/>
  <c r="M14" i="24"/>
  <c r="AN13" i="24"/>
  <c r="M13" i="24"/>
  <c r="AN12" i="24"/>
  <c r="M12" i="24"/>
  <c r="AN11" i="24"/>
  <c r="M11" i="24"/>
  <c r="AN10" i="24"/>
  <c r="M10" i="24"/>
  <c r="Q142" i="22" l="1"/>
  <c r="B12" i="32" s="1"/>
  <c r="AN141" i="22"/>
  <c r="U141" i="22"/>
  <c r="AN140" i="22"/>
  <c r="U140" i="22"/>
  <c r="M140" i="22"/>
  <c r="AN139" i="22"/>
  <c r="U139" i="22"/>
  <c r="M139" i="22"/>
  <c r="AN138" i="22"/>
  <c r="U138" i="22"/>
  <c r="M138" i="22"/>
  <c r="AN137" i="22"/>
  <c r="U137" i="22"/>
  <c r="M137" i="22"/>
  <c r="AN136" i="22"/>
  <c r="U136" i="22"/>
  <c r="M136" i="22"/>
  <c r="AN135" i="22"/>
  <c r="U135" i="22"/>
  <c r="M135" i="22"/>
  <c r="AN134" i="22"/>
  <c r="U134" i="22"/>
  <c r="M134" i="22"/>
  <c r="AN133" i="22"/>
  <c r="U133" i="22"/>
  <c r="M133" i="22"/>
  <c r="AN132" i="22"/>
  <c r="U132" i="22"/>
  <c r="M132" i="22"/>
  <c r="AN131" i="22"/>
  <c r="U131" i="22"/>
  <c r="M131" i="22"/>
  <c r="AN130" i="22"/>
  <c r="M130" i="22"/>
  <c r="AN129" i="22"/>
  <c r="U129" i="22"/>
  <c r="M129" i="22"/>
  <c r="AN128" i="22"/>
  <c r="U128" i="22"/>
  <c r="M128" i="22"/>
  <c r="AN127" i="22"/>
  <c r="U127" i="22"/>
  <c r="M127" i="22"/>
  <c r="AN126" i="22"/>
  <c r="U126" i="22"/>
  <c r="M126" i="22"/>
  <c r="AN125" i="22"/>
  <c r="U125" i="22"/>
  <c r="M125" i="22"/>
  <c r="AN124" i="22"/>
  <c r="U124" i="22"/>
  <c r="M124" i="22"/>
  <c r="AN123" i="22"/>
  <c r="U123" i="22"/>
  <c r="M123" i="22"/>
  <c r="AN122" i="22"/>
  <c r="U122" i="22"/>
  <c r="M122" i="22"/>
  <c r="AN121" i="22"/>
  <c r="U121" i="22"/>
  <c r="M121" i="22"/>
  <c r="AN120" i="22"/>
  <c r="U120" i="22"/>
  <c r="M120" i="22"/>
  <c r="AN119" i="22"/>
  <c r="U119" i="22"/>
  <c r="M119" i="22"/>
  <c r="AN118" i="22"/>
  <c r="U118" i="22"/>
  <c r="M118" i="22"/>
  <c r="AN117" i="22"/>
  <c r="U117" i="22"/>
  <c r="M117" i="22"/>
  <c r="AN116" i="22"/>
  <c r="U116" i="22"/>
  <c r="M116" i="22"/>
  <c r="AN115" i="22"/>
  <c r="U115" i="22"/>
  <c r="M115" i="22"/>
  <c r="AN114" i="22"/>
  <c r="U114" i="22"/>
  <c r="M114" i="22"/>
  <c r="AN113" i="22"/>
  <c r="U113" i="22"/>
  <c r="M113" i="22"/>
  <c r="AN112" i="22"/>
  <c r="U112" i="22"/>
  <c r="M112" i="22"/>
  <c r="AN111" i="22"/>
  <c r="U111" i="22"/>
  <c r="M111" i="22"/>
  <c r="AN110" i="22"/>
  <c r="U110" i="22"/>
  <c r="M110" i="22"/>
  <c r="AN109" i="22"/>
  <c r="U109" i="22"/>
  <c r="M109" i="22"/>
  <c r="AN108" i="22"/>
  <c r="U108" i="22"/>
  <c r="M108" i="22"/>
  <c r="AN107" i="22"/>
  <c r="U107" i="22"/>
  <c r="M107" i="22"/>
  <c r="AN106" i="22"/>
  <c r="U106" i="22"/>
  <c r="M106" i="22"/>
  <c r="AN105" i="22"/>
  <c r="U105" i="22"/>
  <c r="M105" i="22"/>
  <c r="AN104" i="22"/>
  <c r="U104" i="22"/>
  <c r="M104" i="22"/>
  <c r="AN103" i="22"/>
  <c r="U103" i="22"/>
  <c r="M103" i="22"/>
  <c r="AN102" i="22"/>
  <c r="U102" i="22"/>
  <c r="M102" i="22"/>
  <c r="AN101" i="22"/>
  <c r="U101" i="22"/>
  <c r="M101" i="22"/>
  <c r="AN100" i="22"/>
  <c r="U100" i="22"/>
  <c r="M100" i="22"/>
  <c r="AN99" i="22"/>
  <c r="U99" i="22"/>
  <c r="M99" i="22"/>
  <c r="AN98" i="22"/>
  <c r="U98" i="22"/>
  <c r="M98" i="22"/>
  <c r="AN97" i="22"/>
  <c r="U97" i="22"/>
  <c r="M97" i="22"/>
  <c r="AN96" i="22"/>
  <c r="U96" i="22"/>
  <c r="M96" i="22"/>
  <c r="AN95" i="22"/>
  <c r="U95" i="22"/>
  <c r="M95" i="22"/>
  <c r="AN94" i="22"/>
  <c r="U94" i="22"/>
  <c r="M94" i="22"/>
  <c r="AN93" i="22"/>
  <c r="U93" i="22"/>
  <c r="M93" i="22"/>
  <c r="AN92" i="22"/>
  <c r="U92" i="22"/>
  <c r="M92" i="22"/>
  <c r="AN91" i="22"/>
  <c r="U91" i="22"/>
  <c r="M91" i="22"/>
  <c r="AN90" i="22"/>
  <c r="U90" i="22"/>
  <c r="M90" i="22"/>
  <c r="AN89" i="22"/>
  <c r="U89" i="22"/>
  <c r="M89" i="22"/>
  <c r="AN88" i="22"/>
  <c r="U88" i="22"/>
  <c r="M88" i="22"/>
  <c r="AN87" i="22"/>
  <c r="U87" i="22"/>
  <c r="M87" i="22"/>
  <c r="AN86" i="22"/>
  <c r="U86" i="22"/>
  <c r="M86" i="22"/>
  <c r="AN85" i="22"/>
  <c r="U85" i="22"/>
  <c r="M85" i="22"/>
  <c r="AN84" i="22"/>
  <c r="U84" i="22"/>
  <c r="M84" i="22"/>
  <c r="AN83" i="22"/>
  <c r="U83" i="22"/>
  <c r="M83" i="22"/>
  <c r="AN82" i="22"/>
  <c r="U82" i="22"/>
  <c r="M82" i="22"/>
  <c r="AN81" i="22"/>
  <c r="U81" i="22"/>
  <c r="M81" i="22"/>
  <c r="AN80" i="22"/>
  <c r="U80" i="22"/>
  <c r="M80" i="22"/>
  <c r="AN79" i="22"/>
  <c r="U79" i="22"/>
  <c r="M79" i="22"/>
  <c r="AN78" i="22"/>
  <c r="U78" i="22"/>
  <c r="M78" i="22"/>
  <c r="AN77" i="22"/>
  <c r="U77" i="22"/>
  <c r="M77" i="22"/>
  <c r="AN76" i="22"/>
  <c r="U76" i="22"/>
  <c r="M76" i="22"/>
  <c r="AN75" i="22"/>
  <c r="U75" i="22"/>
  <c r="M75" i="22"/>
  <c r="AN74" i="22"/>
  <c r="U74" i="22"/>
  <c r="M74" i="22"/>
  <c r="AN73" i="22"/>
  <c r="U73" i="22"/>
  <c r="M73" i="22"/>
  <c r="AN72" i="22"/>
  <c r="U72" i="22"/>
  <c r="M72" i="22"/>
  <c r="AN71" i="22"/>
  <c r="U71" i="22"/>
  <c r="M71" i="22"/>
  <c r="AN70" i="22"/>
  <c r="U70" i="22"/>
  <c r="M70" i="22"/>
  <c r="AN69" i="22"/>
  <c r="U69" i="22"/>
  <c r="M69" i="22"/>
  <c r="AN68" i="22"/>
  <c r="U68" i="22"/>
  <c r="M68" i="22"/>
  <c r="AN67" i="22"/>
  <c r="U67" i="22"/>
  <c r="M67" i="22"/>
  <c r="AN66" i="22"/>
  <c r="U66" i="22"/>
  <c r="M66" i="22"/>
  <c r="AN65" i="22"/>
  <c r="U65" i="22"/>
  <c r="M65" i="22"/>
  <c r="AN64" i="22"/>
  <c r="U64" i="22"/>
  <c r="M64" i="22"/>
  <c r="AN63" i="22"/>
  <c r="U63" i="22"/>
  <c r="M63" i="22"/>
  <c r="AN62" i="22"/>
  <c r="U62" i="22"/>
  <c r="M62" i="22"/>
  <c r="AN61" i="22"/>
  <c r="U61" i="22"/>
  <c r="M61" i="22"/>
  <c r="AN60" i="22"/>
  <c r="U60" i="22"/>
  <c r="M60" i="22"/>
  <c r="AN59" i="22"/>
  <c r="U59" i="22"/>
  <c r="M59" i="22"/>
  <c r="AN58" i="22"/>
  <c r="U58" i="22"/>
  <c r="M58" i="22"/>
  <c r="AN57" i="22"/>
  <c r="U57" i="22"/>
  <c r="M57" i="22"/>
  <c r="AN56" i="22"/>
  <c r="U56" i="22"/>
  <c r="M56" i="22"/>
  <c r="AN55" i="22"/>
  <c r="U55" i="22"/>
  <c r="M55" i="22"/>
  <c r="AN54" i="22"/>
  <c r="U54" i="22"/>
  <c r="M54" i="22"/>
  <c r="AN53" i="22"/>
  <c r="U53" i="22"/>
  <c r="M53" i="22"/>
  <c r="AN52" i="22"/>
  <c r="U52" i="22"/>
  <c r="M52" i="22"/>
  <c r="AN51" i="22"/>
  <c r="U51" i="22"/>
  <c r="M51" i="22"/>
  <c r="AN50" i="22"/>
  <c r="U50" i="22"/>
  <c r="M50" i="22"/>
  <c r="AN49" i="22"/>
  <c r="U49" i="22"/>
  <c r="M49" i="22"/>
  <c r="AN48" i="22"/>
  <c r="U48" i="22"/>
  <c r="M48" i="22"/>
  <c r="AN47" i="22"/>
  <c r="U47" i="22"/>
  <c r="M47" i="22"/>
  <c r="AN46" i="22"/>
  <c r="U46" i="22"/>
  <c r="M46" i="22"/>
  <c r="AN45" i="22"/>
  <c r="U45" i="22"/>
  <c r="M45" i="22"/>
  <c r="AN44" i="22"/>
  <c r="U44" i="22"/>
  <c r="M44" i="22"/>
  <c r="AN43" i="22"/>
  <c r="U43" i="22"/>
  <c r="M43" i="22"/>
  <c r="AN42" i="22"/>
  <c r="U42" i="22"/>
  <c r="M42" i="22"/>
  <c r="AN41" i="22"/>
  <c r="U41" i="22"/>
  <c r="M41" i="22"/>
  <c r="AN40" i="22"/>
  <c r="U40" i="22"/>
  <c r="M40" i="22"/>
  <c r="AN39" i="22"/>
  <c r="U39" i="22"/>
  <c r="M39" i="22"/>
  <c r="AN38" i="22"/>
  <c r="U38" i="22"/>
  <c r="M38" i="22"/>
  <c r="AN37" i="22"/>
  <c r="U37" i="22"/>
  <c r="M37" i="22"/>
  <c r="AN36" i="22"/>
  <c r="U36" i="22"/>
  <c r="M36" i="22"/>
  <c r="AN35" i="22"/>
  <c r="U35" i="22"/>
  <c r="M35" i="22"/>
  <c r="AN34" i="22"/>
  <c r="U34" i="22"/>
  <c r="M34" i="22"/>
  <c r="AN33" i="22"/>
  <c r="U33" i="22"/>
  <c r="M33" i="22"/>
  <c r="AN32" i="22"/>
  <c r="M32" i="22"/>
  <c r="AN31" i="22"/>
  <c r="U31" i="22"/>
  <c r="M31" i="22"/>
  <c r="AN30" i="22"/>
  <c r="U30" i="22"/>
  <c r="M30" i="22"/>
  <c r="U29" i="22"/>
  <c r="M29" i="22"/>
  <c r="U28" i="22"/>
  <c r="M28" i="22"/>
  <c r="U27" i="22"/>
  <c r="M27" i="22"/>
  <c r="U26" i="22"/>
  <c r="M26" i="22"/>
  <c r="U25" i="22"/>
  <c r="M25" i="22"/>
  <c r="U24" i="22"/>
  <c r="M24" i="22"/>
  <c r="U23" i="22"/>
  <c r="M23" i="22"/>
  <c r="U22" i="22"/>
  <c r="M22" i="22"/>
  <c r="U21" i="22"/>
  <c r="M21" i="22"/>
  <c r="U20" i="22"/>
  <c r="M20" i="22"/>
  <c r="AN19" i="22"/>
  <c r="U19" i="22"/>
  <c r="M19" i="22"/>
  <c r="AN18" i="22"/>
  <c r="U18" i="22"/>
  <c r="M18" i="22"/>
  <c r="AN17" i="22"/>
  <c r="U17" i="22"/>
  <c r="M17" i="22"/>
  <c r="AN16" i="22"/>
  <c r="U16" i="22"/>
  <c r="M16" i="22"/>
  <c r="AN15" i="22"/>
  <c r="U15" i="22"/>
  <c r="M15" i="22"/>
  <c r="AN14" i="22"/>
  <c r="U14" i="22"/>
  <c r="M14" i="22"/>
  <c r="AN13" i="22"/>
  <c r="U13" i="22"/>
  <c r="M13" i="22"/>
  <c r="AN12" i="22"/>
  <c r="U12" i="22"/>
  <c r="M12" i="22"/>
  <c r="AN11" i="22"/>
  <c r="U11" i="22"/>
  <c r="M11" i="22"/>
  <c r="AN10" i="22"/>
  <c r="U10" i="22"/>
  <c r="M10" i="22"/>
  <c r="Q53" i="21" l="1"/>
  <c r="B7" i="32" s="1"/>
  <c r="M52" i="21"/>
  <c r="M51" i="21"/>
  <c r="M50" i="21"/>
  <c r="M49" i="21"/>
  <c r="M48" i="21"/>
  <c r="M47" i="21"/>
  <c r="M46" i="21"/>
  <c r="M45" i="21"/>
  <c r="M44" i="21"/>
  <c r="M43" i="21"/>
  <c r="M42" i="21"/>
  <c r="M41" i="21"/>
  <c r="M40" i="21"/>
  <c r="M39" i="21"/>
  <c r="M38" i="21"/>
  <c r="M37" i="21"/>
  <c r="M36" i="21"/>
  <c r="M35" i="21"/>
  <c r="M34" i="21"/>
  <c r="M33" i="21"/>
  <c r="M32" i="21"/>
  <c r="M31" i="21"/>
  <c r="M30" i="21"/>
  <c r="M29" i="21"/>
  <c r="M28" i="21"/>
  <c r="M27" i="21"/>
  <c r="M26" i="21"/>
  <c r="M25" i="21"/>
  <c r="M24" i="21"/>
  <c r="M23" i="21"/>
  <c r="M22" i="21"/>
  <c r="M21" i="21"/>
  <c r="M20" i="21"/>
  <c r="M19" i="21"/>
  <c r="M18" i="21"/>
  <c r="M17" i="21"/>
  <c r="M16" i="21"/>
  <c r="AJ15" i="21"/>
  <c r="AJ16" i="21" s="1"/>
  <c r="M15" i="21"/>
  <c r="M14" i="21"/>
  <c r="M13" i="21"/>
  <c r="M12" i="21"/>
  <c r="AJ11" i="21"/>
  <c r="AJ13" i="21" s="1"/>
  <c r="AJ14" i="21" s="1"/>
  <c r="M11" i="21"/>
  <c r="M10" i="21"/>
  <c r="AJ12" i="21" l="1"/>
  <c r="M66" i="20" l="1"/>
  <c r="M65" i="20"/>
  <c r="M64" i="20"/>
  <c r="Q63" i="20"/>
  <c r="U63" i="20" s="1"/>
  <c r="M63" i="20"/>
  <c r="M62" i="20"/>
  <c r="M61" i="20"/>
  <c r="M60" i="20"/>
  <c r="M59" i="20"/>
  <c r="M58" i="20"/>
  <c r="M57" i="20"/>
  <c r="M56" i="20"/>
  <c r="M55" i="20"/>
  <c r="M54" i="20"/>
  <c r="Q53" i="20"/>
  <c r="M53" i="20"/>
  <c r="Q52" i="20"/>
  <c r="M52" i="20"/>
  <c r="M51" i="20"/>
  <c r="M50" i="20"/>
  <c r="M49" i="20"/>
  <c r="U48" i="20"/>
  <c r="M48" i="20"/>
  <c r="M47" i="20"/>
  <c r="M46" i="20"/>
  <c r="M45" i="20"/>
  <c r="M44" i="20"/>
  <c r="M43" i="20"/>
  <c r="M42" i="20"/>
  <c r="M41" i="20"/>
  <c r="M40" i="20"/>
  <c r="M39" i="20"/>
  <c r="M38" i="20"/>
  <c r="M37" i="20"/>
  <c r="M36" i="20"/>
  <c r="M35" i="20"/>
  <c r="Q34" i="20"/>
  <c r="M34" i="20"/>
  <c r="M33" i="20"/>
  <c r="M32" i="20"/>
  <c r="M31" i="20"/>
  <c r="M30" i="20"/>
  <c r="M29" i="20"/>
  <c r="Q28" i="20"/>
  <c r="M28" i="20"/>
  <c r="M27" i="20"/>
  <c r="M26" i="20"/>
  <c r="M25" i="20"/>
  <c r="M24" i="20"/>
  <c r="M23" i="20"/>
  <c r="M22" i="20"/>
  <c r="M21" i="20"/>
  <c r="M20" i="20"/>
  <c r="M19" i="20"/>
  <c r="Q18" i="20"/>
  <c r="M18" i="20"/>
  <c r="M17" i="20"/>
  <c r="M16" i="20"/>
  <c r="Q15" i="20"/>
  <c r="M15" i="20"/>
  <c r="M14" i="20"/>
  <c r="M13" i="20"/>
  <c r="M12" i="20"/>
  <c r="M11" i="20"/>
  <c r="Q67" i="20" l="1"/>
  <c r="B8" i="32" s="1"/>
  <c r="Q154" i="19"/>
  <c r="B11" i="32" s="1"/>
  <c r="AN153" i="19"/>
  <c r="AN152" i="19"/>
  <c r="AN151" i="19"/>
  <c r="AN150" i="19"/>
  <c r="AN149" i="19"/>
  <c r="AN148" i="19"/>
  <c r="AN147" i="19"/>
  <c r="AN146" i="19"/>
  <c r="AN145" i="19"/>
  <c r="AN144" i="19"/>
  <c r="AN143" i="19"/>
  <c r="AN142" i="19"/>
  <c r="AN141" i="19"/>
  <c r="AN140" i="19"/>
  <c r="AN139" i="19"/>
  <c r="AN138" i="19"/>
  <c r="AN137" i="19"/>
  <c r="AN136" i="19"/>
  <c r="AN135" i="19"/>
  <c r="AN134" i="19"/>
  <c r="AN133" i="19"/>
  <c r="AN132" i="19"/>
  <c r="AN131" i="19"/>
  <c r="AN130" i="19"/>
  <c r="AN129" i="19"/>
  <c r="AN128" i="19"/>
  <c r="AN127" i="19"/>
  <c r="AN126" i="19"/>
  <c r="AN125" i="19"/>
  <c r="AN124" i="19"/>
  <c r="AN123" i="19"/>
  <c r="AN122" i="19"/>
  <c r="AN121" i="19"/>
  <c r="AN120" i="19"/>
  <c r="AN119" i="19"/>
  <c r="AN118" i="19"/>
  <c r="AN117" i="19"/>
  <c r="AN116" i="19"/>
  <c r="AN115" i="19"/>
  <c r="AN114" i="19"/>
  <c r="AN113" i="19"/>
  <c r="AN112" i="19"/>
  <c r="AN111" i="19"/>
  <c r="AN110" i="19"/>
  <c r="AN109" i="19"/>
  <c r="AN108" i="19"/>
  <c r="AN107" i="19"/>
  <c r="AN106" i="19"/>
  <c r="AN105" i="19"/>
  <c r="AN104" i="19"/>
  <c r="AN103" i="19"/>
  <c r="AN102" i="19"/>
  <c r="AN101" i="19"/>
  <c r="AN100" i="19"/>
  <c r="AN99" i="19"/>
  <c r="AN98" i="19"/>
  <c r="AN97" i="19"/>
  <c r="AN96" i="19"/>
  <c r="AN95" i="19"/>
  <c r="AN94" i="19"/>
  <c r="AN93" i="19"/>
  <c r="AN92" i="19"/>
  <c r="AN91" i="19"/>
  <c r="AN90" i="19"/>
  <c r="AN89" i="19"/>
  <c r="AN88" i="19"/>
  <c r="AN87" i="19"/>
  <c r="AN86" i="19"/>
  <c r="AN85" i="19"/>
  <c r="AN84" i="19"/>
  <c r="AN83" i="19"/>
  <c r="AN82" i="19"/>
  <c r="AN81" i="19"/>
  <c r="AN80" i="19"/>
  <c r="AN79" i="19"/>
  <c r="AN78" i="19"/>
  <c r="AN77" i="19"/>
  <c r="AN76" i="19"/>
  <c r="AN75" i="19"/>
  <c r="AN73" i="19"/>
  <c r="AN72" i="19"/>
  <c r="AN70" i="19"/>
  <c r="AN68" i="19"/>
  <c r="AN67" i="19"/>
  <c r="AN66" i="19"/>
  <c r="AN65" i="19"/>
  <c r="AN64" i="19"/>
  <c r="AN62" i="19"/>
  <c r="AN60" i="19"/>
  <c r="AN59" i="19"/>
  <c r="AN58" i="19"/>
  <c r="AN57" i="19"/>
  <c r="AN56" i="19"/>
  <c r="AN55" i="19"/>
  <c r="AN54" i="19"/>
  <c r="AN53" i="19"/>
  <c r="AN52" i="19"/>
  <c r="AN51" i="19"/>
  <c r="AN50" i="19"/>
  <c r="AN49" i="19"/>
  <c r="AN48" i="19"/>
  <c r="AN46" i="19"/>
  <c r="AN44" i="19"/>
  <c r="AN43" i="19"/>
  <c r="AN42" i="19"/>
  <c r="AN41" i="19"/>
  <c r="AN40" i="19"/>
  <c r="AN39" i="19"/>
  <c r="AN38" i="19"/>
  <c r="AN37" i="19"/>
  <c r="AN36" i="19"/>
  <c r="AN34" i="19"/>
  <c r="AN33" i="19"/>
  <c r="AN32" i="19"/>
  <c r="AN31" i="19"/>
  <c r="AN30" i="19"/>
  <c r="AN29" i="19"/>
  <c r="AN28" i="19"/>
  <c r="AN27" i="19"/>
  <c r="AN26" i="19"/>
  <c r="AN25" i="19"/>
  <c r="AN24" i="19"/>
  <c r="AN23" i="19"/>
  <c r="AN22" i="19"/>
  <c r="AN21" i="19"/>
  <c r="AN20" i="19"/>
  <c r="AN19" i="19"/>
  <c r="AN18" i="19"/>
  <c r="AN17" i="19"/>
  <c r="AN16" i="19"/>
  <c r="AN15" i="19"/>
  <c r="AN14" i="19"/>
  <c r="AN13" i="19"/>
  <c r="AN12" i="19"/>
  <c r="AN11" i="19"/>
  <c r="Q9" i="19"/>
  <c r="Q30" i="18" l="1"/>
  <c r="B3" i="32" s="1"/>
  <c r="U29" i="18"/>
  <c r="M29" i="18"/>
  <c r="M28" i="18"/>
  <c r="U27" i="18"/>
  <c r="M27" i="18"/>
  <c r="U26" i="18"/>
  <c r="M26" i="18"/>
  <c r="U25" i="18"/>
  <c r="M25" i="18"/>
  <c r="U24" i="18"/>
  <c r="M24" i="18"/>
  <c r="U23" i="18"/>
  <c r="M23" i="18"/>
  <c r="U22" i="18"/>
  <c r="M22" i="18"/>
  <c r="U21" i="18"/>
  <c r="M21" i="18"/>
  <c r="U20" i="18"/>
  <c r="M20" i="18"/>
  <c r="U19" i="18"/>
  <c r="M19" i="18"/>
  <c r="U18" i="18"/>
  <c r="M18" i="18"/>
  <c r="U17" i="18"/>
  <c r="M17" i="18"/>
  <c r="U16" i="18"/>
  <c r="M16" i="18"/>
  <c r="U15" i="18"/>
  <c r="M15" i="18"/>
  <c r="U14" i="18"/>
  <c r="M14" i="18"/>
  <c r="U13" i="18"/>
  <c r="M13" i="18"/>
  <c r="U12" i="18"/>
  <c r="M12" i="18"/>
  <c r="U11" i="18"/>
  <c r="M11" i="18"/>
  <c r="U10" i="18"/>
  <c r="M10" i="18"/>
  <c r="U30" i="18" l="1"/>
  <c r="Q24" i="17"/>
  <c r="B2" i="32" s="1"/>
  <c r="B15" i="32" l="1"/>
  <c r="C12" i="32" l="1"/>
  <c r="C13" i="32"/>
  <c r="C6" i="32"/>
  <c r="C9" i="32"/>
  <c r="C7" i="32"/>
  <c r="C5" i="32"/>
  <c r="C10" i="32"/>
  <c r="B23" i="32"/>
  <c r="C14" i="32"/>
  <c r="C8" i="32"/>
  <c r="C11" i="32"/>
  <c r="C3" i="32"/>
  <c r="C2" i="32"/>
  <c r="C4" i="32"/>
  <c r="C15" i="3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tc={BB141960-3289-40F6-A7B0-6E39101B12AB}</author>
    <author>tc={05BFA245-48A6-4924-8AB4-14762EAC1337}</author>
    <author>tc={08473922-B3C2-47B6-85E6-611D6ED5B927}</author>
    <author>tc={E54DD693-4306-462B-91A4-91BE05116524}</author>
    <author>tc={FCA41386-AC23-4B57-82A6-709804FE5B23}</author>
    <author>tc={4E96DC72-B324-45B6-B8F2-C654971560F8}</author>
    <author>tc={7BCA245B-F789-44B3-A20F-716CB995C901}</author>
    <author>tc={1E92D683-EA16-413A-9022-EAE127942344}</author>
  </authors>
  <commentList>
    <comment ref="R10" authorId="0" shapeId="0" xr:uid="{BB141960-3289-40F6-A7B0-6E39101B12AB}">
      <text>
        <t>[Threaded comment]
Your version of Excel allows you to read this threaded comment; however, any edits to it will get removed if the file is opened in a newer version of Excel. Learn more: https://go.microsoft.com/fwlink/?linkid=870924
Comment:
    PP    VALOR 
1227   14.800.000</t>
      </text>
    </comment>
    <comment ref="R11" authorId="1" shapeId="0" xr:uid="{05BFA245-48A6-4924-8AB4-14762EAC1337}">
      <text>
        <t>[Threaded comment]
Your version of Excel allows you to read this threaded comment; however, any edits to it will get removed if the file is opened in a newer version of Excel. Learn more: https://go.microsoft.com/fwlink/?linkid=870924
Comment:
    PP                      VALOR
831             14.800.000
1223       14.800.000</t>
      </text>
    </comment>
    <comment ref="R12" authorId="2" shapeId="0" xr:uid="{08473922-B3C2-47B6-85E6-611D6ED5B927}">
      <text>
        <t>[Threaded comment]
Your version of Excel allows you to read this threaded comment; however, any edits to it will get removed if the file is opened in a newer version of Excel. Learn more: https://go.microsoft.com/fwlink/?linkid=870924
Comment:
    881     16.000.000</t>
      </text>
    </comment>
    <comment ref="R13" authorId="3" shapeId="0" xr:uid="{E54DD693-4306-462B-91A4-91BE05116524}">
      <text>
        <t>[Threaded comment]
Your version of Excel allows you to read this threaded comment; however, any edits to it will get removed if the file is opened in a newer version of Excel. Learn more: https://go.microsoft.com/fwlink/?linkid=870924
Comment:
    PP          VALOR
826        16.000.000</t>
      </text>
    </comment>
    <comment ref="R14" authorId="4" shapeId="0" xr:uid="{FCA41386-AC23-4B57-82A6-709804FE5B23}">
      <text>
        <t>[Threaded comment]
Your version of Excel allows you to read this threaded comment; however, any edits to it will get removed if the file is opened in a newer version of Excel. Learn more: https://go.microsoft.com/fwlink/?linkid=870924
Comment:
    PP         VALOR
834       14.800.000
1148      16.000.000</t>
      </text>
    </comment>
    <comment ref="R15" authorId="5" shapeId="0" xr:uid="{4E96DC72-B324-45B6-B8F2-C654971560F8}">
      <text>
        <t>[Threaded comment]
Your version of Excel allows you to read this threaded comment; however, any edits to it will get removed if the file is opened in a newer version of Excel. Learn more: https://go.microsoft.com/fwlink/?linkid=870924
Comment:
    PP                 VALOR
1151           14.800.000
1153             9.600.000</t>
      </text>
    </comment>
    <comment ref="R22" authorId="6" shapeId="0" xr:uid="{7BCA245B-F789-44B3-A20F-716CB995C901}">
      <text>
        <t>[Threaded comment]
Your version of Excel allows you to read this threaded comment; however, any edits to it will get removed if the file is opened in a newer version of Excel. Learn more: https://go.microsoft.com/fwlink/?linkid=870924
Comment:
    PP                  VALOR
801              5.000.000</t>
      </text>
    </comment>
    <comment ref="R23" authorId="7" shapeId="0" xr:uid="{1E92D683-EA16-413A-9022-EAE127942344}">
      <text>
        <t>[Threaded comment]
Your version of Excel allows you to read this threaded comment; however, any edits to it will get removed if the file is opened in a newer version of Excel. Learn more: https://go.microsoft.com/fwlink/?linkid=870924
Comment:
    PP837                $14.800.000</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tc={79577402-54A7-4B9B-A230-298204CEB764}</author>
    <author>tc={BFB65A18-99A5-435A-B08A-F3A8E6145026}</author>
    <author>tc={D25520DF-0234-4729-B898-D02902C1DD24}</author>
    <author>tc={D07FB1C3-9997-495D-AF30-246643623DF9}</author>
    <author>tc={23C2CA2A-82E2-4C32-899C-6F7B3454FDC8}</author>
    <author>tc={53B4DF0F-0214-4EEE-B5FA-E583098449A2}</author>
    <author>tc={E76E2A0E-C9B9-4D86-8F7C-3BB63A0B65EE}</author>
    <author>AUXPLANEACION18</author>
    <author>tc={F7F769D9-4240-4032-9990-4A870373F1DB}</author>
    <author>tc={F743CFD7-FC25-4077-85DF-CDFB15000BC9}</author>
    <author>tc={B5A8D8D3-D88A-4D1C-A206-3AAF80188241}</author>
    <author>tc={08CE3E96-CD9D-49C4-93AC-378DFD9B8E7F}</author>
    <author>tc={9915C81F-15E8-4E63-A604-2E88AD7C6199}</author>
    <author>tc={1D4A6570-6371-4B7D-8EC0-7F806F6390B2}</author>
    <author>tc={7642983F-396B-4D97-9A43-CB15B1750987}</author>
    <author>tc={8032BBFB-CCBE-4205-B4C3-4272725C4A73}</author>
    <author>tc={6887688D-E366-4E1C-92B8-E28CC9729E5C}</author>
    <author>tc={518EB16F-3808-4D8A-A9B4-F8BC809C7EE9}</author>
    <author>tc={D67A9C41-27A1-4880-B7C3-1AD04ED99BF7}</author>
    <author>tc={CEFC8CDC-A3A0-422A-B37C-ACD8FC0CFEA5}</author>
    <author>tc={DFDEE06F-B502-4331-8EFC-F6070E93D5D5}</author>
    <author>tc={AEA385D7-8900-42CE-9B8D-313BF4F3F8C1}</author>
    <author>tc={671FAC11-45F0-4958-AABA-31FF27332BC3}</author>
    <author>tc={4C3C1292-1547-4B23-B37D-C20E2A7D9863}</author>
    <author>tc={EC9D54E9-D71B-4698-B88D-4BBF2B33F091}</author>
    <author>tc={5B16CA55-09C8-4AB2-BF4A-412E4D953D62}</author>
  </authors>
  <commentList>
    <comment ref="R12" authorId="0" shapeId="0" xr:uid="{79577402-54A7-4B9B-A230-298204CEB764}">
      <text>
        <t>[Threaded comment]
Your version of Excel allows you to read this threaded comment; however, any edits to it will get removed if the file is opened in a newer version of Excel. Learn more: https://go.microsoft.com/fwlink/?linkid=870924
Comment:
    PP           3.000000</t>
      </text>
    </comment>
    <comment ref="R13" authorId="1" shapeId="0" xr:uid="{BFB65A18-99A5-435A-B08A-F3A8E6145026}">
      <text>
        <t>[Threaded comment]
Your version of Excel allows you to read this threaded comment; however, any edits to it will get removed if the file is opened in a newer version of Excel. Learn more: https://go.microsoft.com/fwlink/?linkid=870924
Comment:
    PP   VALOR
845   8.000.000
891  7.400.000
966  8.000.000
Reply:
    1219     6.000.000
Reply:
    1462      6.000.000</t>
      </text>
    </comment>
    <comment ref="R20" authorId="2" shapeId="0" xr:uid="{D25520DF-0234-4729-B898-D02902C1DD24}">
      <text>
        <t>[Threaded comment]
Your version of Excel allows you to read this threaded comment; however, any edits to it will get removed if the file is opened in a newer version of Excel. Learn more: https://go.microsoft.com/fwlink/?linkid=870924
Comment:
    PP                VALOR
1324          4.000.000</t>
      </text>
    </comment>
    <comment ref="R23" authorId="3" shapeId="0" xr:uid="{D07FB1C3-9997-495D-AF30-246643623DF9}">
      <text>
        <t>[Threaded comment]
Your version of Excel allows you to read this threaded comment; however, any edits to it will get removed if the file is opened in a newer version of Excel. Learn more: https://go.microsoft.com/fwlink/?linkid=870924
Comment:
       PP    VALOR
1336    7.400.000</t>
      </text>
    </comment>
    <comment ref="R24" authorId="4" shapeId="0" xr:uid="{23C2CA2A-82E2-4C32-899C-6F7B3454FDC8}">
      <text>
        <t>[Threaded comment]
Your version of Excel allows you to read this threaded comment; however, any edits to it will get removed if the file is opened in a newer version of Excel. Learn more: https://go.microsoft.com/fwlink/?linkid=870924
Comment:
    PP             VALOR
1219            5.000.000
1330            2.500.000
Reply:
    1361          2.500.000
Reply:
    1462        5.000.000</t>
      </text>
    </comment>
    <comment ref="R25" authorId="5" shapeId="0" xr:uid="{53B4DF0F-0214-4EEE-B5FA-E583098449A2}">
      <text>
        <t>[Threaded comment]
Your version of Excel allows you to read this threaded comment; however, any edits to it will get removed if the file is opened in a newer version of Excel. Learn more: https://go.microsoft.com/fwlink/?linkid=870924
Comment:
      PP      VALOR
1336    7.400.000</t>
      </text>
    </comment>
    <comment ref="R30" authorId="6" shapeId="0" xr:uid="{E76E2A0E-C9B9-4D86-8F7C-3BB63A0B65EE}">
      <text>
        <t>[Threaded comment]
Your version of Excel allows you to read this threaded comment; however, any edits to it will get removed if the file is opened in a newer version of Excel. Learn more: https://go.microsoft.com/fwlink/?linkid=870924
Comment:
    PP     VALOR 
1088   7.400.000
Reply:
    1195           16.600.000
1313     7.400.000</t>
      </text>
    </comment>
    <comment ref="Q32" authorId="7" shapeId="0" xr:uid="{00000000-0006-0000-0A00-000001000000}">
      <text>
        <r>
          <rPr>
            <b/>
            <sz val="9"/>
            <color indexed="81"/>
            <rFont val="Tahoma"/>
            <family val="2"/>
          </rPr>
          <t xml:space="preserve">YA LO CORREGI SEGÚN NECESIDAD QUE TENIAS
</t>
        </r>
      </text>
    </comment>
    <comment ref="R32" authorId="8" shapeId="0" xr:uid="{F7F769D9-4240-4032-9990-4A870373F1DB}">
      <text>
        <t>[Threaded comment]
Your version of Excel allows you to read this threaded comment; however, any edits to it will get removed if the file is opened in a newer version of Excel. Learn more: https://go.microsoft.com/fwlink/?linkid=870924
Comment:
    PP   VALOR
845   4.000.000
891   3.400.000
1092    5.000.000
1330   6.500.000
Reply:
    1361        6.500.000</t>
      </text>
    </comment>
    <comment ref="R33" authorId="9" shapeId="0" xr:uid="{F743CFD7-FC25-4077-85DF-CDFB15000BC9}">
      <text>
        <t>[Threaded comment]
Your version of Excel allows you to read this threaded comment; however, any edits to it will get removed if the file is opened in a newer version of Excel. Learn more: https://go.microsoft.com/fwlink/?linkid=870924
Comment:
     PP       VALOR
1330   4.500.000
Reply:
    1361      4.500.000</t>
      </text>
    </comment>
    <comment ref="R34" authorId="10" shapeId="0" xr:uid="{B5A8D8D3-D88A-4D1C-A206-3AAF80188241}">
      <text>
        <t>[Threaded comment]
Your version of Excel allows you to read this threaded comment; however, any edits to it will get removed if the file is opened in a newer version of Excel. Learn more: https://go.microsoft.com/fwlink/?linkid=870924
Comment:
      PP    VALOR
1330   2.500.000
Reply:
    1361      2.500.000</t>
      </text>
    </comment>
    <comment ref="Q40" authorId="7" shapeId="0" xr:uid="{00000000-0006-0000-0A00-000002000000}">
      <text>
        <r>
          <rPr>
            <b/>
            <sz val="9"/>
            <color indexed="81"/>
            <rFont val="Tahoma"/>
            <family val="2"/>
          </rPr>
          <t>INCLUI LA FILAYA</t>
        </r>
      </text>
    </comment>
    <comment ref="R63" authorId="11" shapeId="0" xr:uid="{08CE3E96-CD9D-49C4-93AC-378DFD9B8E7F}">
      <text>
        <t>[Threaded comment]
Your version of Excel allows you to read this threaded comment; however, any edits to it will get removed if the file is opened in a newer version of Excel. Learn more: https://go.microsoft.com/fwlink/?linkid=870924
Comment:
    PP    VALOR 
1092     3.000.000
1313     7.400.000
1351     14.800.000</t>
      </text>
    </comment>
    <comment ref="R87" authorId="12" shapeId="0" xr:uid="{9915C81F-15E8-4E63-A604-2E88AD7C6199}">
      <text>
        <t>[Threaded comment]
Your version of Excel allows you to read this threaded comment; however, any edits to it will get removed if the file is opened in a newer version of Excel. Learn more: https://go.microsoft.com/fwlink/?linkid=870924
Comment:
    PP          VALOR
1324       3.000.000</t>
      </text>
    </comment>
    <comment ref="R89" authorId="13" shapeId="0" xr:uid="{1D4A6570-6371-4B7D-8EC0-7F806F6390B2}">
      <text>
        <t>[Threaded comment]
Your version of Excel allows you to read this threaded comment; however, any edits to it will get removed if the file is opened in a newer version of Excel. Learn more: https://go.microsoft.com/fwlink/?linkid=870924
Comment:
    PP    VALOR 
Reply:
    812           6.800.000
1092     3.000.000
Reply:
    1324        2.200.000
1334        7.800.000</t>
      </text>
    </comment>
    <comment ref="R90" authorId="14" shapeId="0" xr:uid="{7642983F-396B-4D97-9A43-CB15B1750987}">
      <text>
        <t>[Threaded comment]
Your version of Excel allows you to read this threaded comment; however, any edits to it will get removed if the file is opened in a newer version of Excel. Learn more: https://go.microsoft.com/fwlink/?linkid=870924
Comment:
    PP          VALOR
812         8.000.000
1334       7.000.000</t>
      </text>
    </comment>
    <comment ref="R105" authorId="15" shapeId="0" xr:uid="{8032BBFB-CCBE-4205-B4C3-4272725C4A73}">
      <text>
        <t>[Threaded comment]
Your version of Excel allows you to read this threaded comment; however, any edits to it will get removed if the file is opened in a newer version of Excel. Learn more: https://go.microsoft.com/fwlink/?linkid=870924
Comment:
    PP       VALOR
966    $4.000.000
Reply:
    1199       8.000.000</t>
      </text>
    </comment>
    <comment ref="R111" authorId="16" shapeId="0" xr:uid="{6887688D-E366-4E1C-92B8-E28CC9729E5C}">
      <text>
        <t>[Threaded comment]
Your version of Excel allows you to read this threaded comment; however, any edits to it will get removed if the file is opened in a newer version of Excel. Learn more: https://go.microsoft.com/fwlink/?linkid=870924
Comment:
    PP     VALOR 
1317    6.000.000
1345    8.800.000</t>
      </text>
    </comment>
    <comment ref="R112" authorId="17" shapeId="0" xr:uid="{518EB16F-3808-4D8A-A9B4-F8BC809C7EE9}">
      <text>
        <t>[Threaded comment]
Your version of Excel allows you to read this threaded comment; however, any edits to it will get removed if the file is opened in a newer version of Excel. Learn more: https://go.microsoft.com/fwlink/?linkid=870924
Comment:
    PP    VALOR 
1317   4.000.000</t>
      </text>
    </comment>
    <comment ref="R115" authorId="18" shapeId="0" xr:uid="{D67A9C41-27A1-4880-B7C3-1AD04ED99BF7}">
      <text>
        <t>[Threaded comment]
Your version of Excel allows you to read this threaded comment; however, any edits to it will get removed if the file is opened in a newer version of Excel. Learn more: https://go.microsoft.com/fwlink/?linkid=870924
Comment:
    PP   VALOR 
1317    2.000.000
1345    3.000.000</t>
      </text>
    </comment>
    <comment ref="R116" authorId="19" shapeId="0" xr:uid="{CEFC8CDC-A3A0-422A-B37C-ACD8FC0CFEA5}">
      <text>
        <t>[Threaded comment]
Your version of Excel allows you to read this threaded comment; however, any edits to it will get removed if the file is opened in a newer version of Excel. Learn more: https://go.microsoft.com/fwlink/?linkid=870924
Comment:
    1345    3.000.000</t>
      </text>
    </comment>
    <comment ref="R122" authorId="20" shapeId="0" xr:uid="{DFDEE06F-B502-4331-8EFC-F6070E93D5D5}">
      <text>
        <t>[Threaded comment]
Your version of Excel allows you to read this threaded comment; however, any edits to it will get removed if the file is opened in a newer version of Excel. Learn more: https://go.microsoft.com/fwlink/?linkid=870924
Comment:
    PP          VALOR
1210      2.000.000
Reply:
    1329     4.500.000
1338     3.500.000</t>
      </text>
    </comment>
    <comment ref="R123" authorId="21" shapeId="0" xr:uid="{AEA385D7-8900-42CE-9B8D-313BF4F3F8C1}">
      <text>
        <t>[Threaded comment]
Your version of Excel allows you to read this threaded comment; however, any edits to it will get removed if the file is opened in a newer version of Excel. Learn more: https://go.microsoft.com/fwlink/?linkid=870924
Comment:
    PP          VALOR
1329      2.000.000
1338      2.000.000</t>
      </text>
    </comment>
    <comment ref="R127" authorId="22" shapeId="0" xr:uid="{671FAC11-45F0-4958-AABA-31FF27332BC3}">
      <text>
        <t>[Threaded comment]
Your version of Excel allows you to read this threaded comment; however, any edits to it will get removed if the file is opened in a newer version of Excel. Learn more: https://go.microsoft.com/fwlink/?linkid=870924
Comment:
    PP          VALOR
1210      3.000.000</t>
      </text>
    </comment>
    <comment ref="R128" authorId="23" shapeId="0" xr:uid="{4C3C1292-1547-4B23-B37D-C20E2A7D9863}">
      <text>
        <t>[Threaded comment]
Your version of Excel allows you to read this threaded comment; however, any edits to it will get removed if the file is opened in a newer version of Excel. Learn more: https://go.microsoft.com/fwlink/?linkid=870924
Comment:
    PP   VLOR 
845   4.000.000
891   4.000.000
966   4.000.000
1210 9.800.000
Reply:
    924   60.000.000
1092    5.000.000
Reply:
    1219       5.000.000
Reply:
    1329      8.300.000
1338     5.300.000
Reply:
    1462       5.000.000</t>
      </text>
    </comment>
    <comment ref="R130" authorId="24" shapeId="0" xr:uid="{EC9D54E9-D71B-4698-B88D-4BBF2B33F091}">
      <text>
        <t>[Threaded comment]
Your version of Excel allows you to read this threaded comment; however, any edits to it will get removed if the file is opened in a newer version of Excel. Learn more: https://go.microsoft.com/fwlink/?linkid=870924
Comment:
    PP      VLR
100   60.000.000</t>
      </text>
    </comment>
    <comment ref="G134" authorId="7" shapeId="0" xr:uid="{00000000-0006-0000-0A00-000003000000}">
      <text>
        <r>
          <rPr>
            <b/>
            <sz val="9"/>
            <color indexed="81"/>
            <rFont val="Tahoma"/>
            <family val="2"/>
          </rPr>
          <t>AUXPLANEACION18:</t>
        </r>
        <r>
          <rPr>
            <sz val="9"/>
            <color indexed="81"/>
            <rFont val="Tahoma"/>
            <family val="2"/>
          </rPr>
          <t xml:space="preserve">
TENIAN LA META 4102043 - YA CORREGÍ </t>
        </r>
      </text>
    </comment>
    <comment ref="R138" authorId="25" shapeId="0" xr:uid="{5B16CA55-09C8-4AB2-BF4A-412E4D953D62}">
      <text>
        <t>[Threaded comment]
Your version of Excel allows you to read this threaded comment; however, any edits to it will get removed if the file is opened in a newer version of Excel. Learn more: https://go.microsoft.com/fwlink/?linkid=870924
Comment:
    PP    VALOR 
845    4.000.000
966    4.000.000
1348  16.000.000
Reply:
    1199       3.800.000</t>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tc={0A6EE948-EF48-4914-8A6B-DFA2AB94F2DA}</author>
    <author>tc={77DAC96A-4EC8-4E09-B019-D62FF4D55DD8}</author>
    <author>tc={810168E6-417F-4874-9D9E-A5F2F50F9076}</author>
    <author>tc={947FA226-728D-47E0-8EDC-0B1FD7B087DD}</author>
    <author>tc={77147615-632C-494F-9726-254BB230E640}</author>
    <author>tc={BC1ED8C0-AB79-429E-8527-986E159CF8CC}</author>
    <author>tc={DD98E096-B7E6-4BB9-88F6-0FFB5BC71734}</author>
    <author>tc={29B4363C-5C05-479B-A260-649C29DCA29B}</author>
    <author>tc={DE4AF00F-ACD0-4ACB-A9C8-30DA9E96E9EF}</author>
    <author>tc={85B5BA31-84D4-4A94-9F29-8683E45AE2E3}</author>
    <author>tc={C7CFC72B-4912-4C83-B8A8-96E640A0A128}</author>
    <author>tc={0C98CF48-4576-42AA-96C2-F814DA92A9C0}</author>
    <author>tc={73CEEB0A-7D88-42C3-9D7D-73BF956F9625}</author>
    <author>tc={70335B00-30DD-4ADA-BC91-5802EA9B3BDF}</author>
    <author>tc={80A76A43-4DE6-4458-B4B9-3300BA24A8A2}</author>
    <author>tc={E50B8D06-8307-4A04-BD4C-B1905630D2A6}</author>
    <author>USER</author>
    <author>tc={C49836D4-05FB-40B5-A5AA-56CEE3D9145C}</author>
    <author>tc={5B005896-E604-4FF0-BAED-8DF020008A78}</author>
    <author>tc={16B47240-7658-460E-97CC-16468ED51542}</author>
    <author>tc={9612F911-27DD-4B31-8C11-46709F5C9E92}</author>
    <author>tc={96068801-3656-4D74-A0AD-192E3F19C17D}</author>
    <author>tc={F3B0429D-C4AD-43EE-A5C3-648A141F5C17}</author>
    <author>tc={6E182E58-51A6-4E78-B80D-C6FF64E45329}</author>
    <author>tc={649F6AA9-0956-466D-92BC-BCA9989D0781}</author>
    <author>tc={7DE6EF38-8ACE-444C-98CE-66A9BF968CD5}</author>
    <author>tc={ABB33DB0-CC4F-4427-B51C-FEB672D6AB61}</author>
    <author>tc={99FFF375-FF78-4C11-8F2F-FCBBCA99DE4F}</author>
    <author>tc={A62A8B88-3513-43B0-B667-281C5D05105B}</author>
    <author>tc={251C2F06-0241-4D0B-BFAA-245E20E34128}</author>
    <author>tc={4369638F-81F2-40DC-8EF7-D3597713A983}</author>
    <author>tc={160DC038-41E8-4DBD-A5DC-0EE8488D53A9}</author>
    <author>tc={20242FD1-E9AB-4314-8D09-56F66BCF1371}</author>
    <author>tc={15625FE1-85FF-4812-AB7F-8C34BD9508CF}</author>
    <author>tc={F17394AA-24C6-4A78-B8E8-77F2FC02405C}</author>
    <author>tc={1035509C-F98E-4E26-A38A-F91B362FB768}</author>
    <author>tc={9B61116E-1A65-4E06-B6CA-A86255299D25}</author>
    <author>tc={5CA36552-0478-4A29-8097-9638A9D90F33}</author>
    <author>tc={A70BB136-4D51-4CB0-878F-56E561D16EA1}</author>
    <author>tc={43C43EA7-FB2B-45B0-A549-3BE4C38D95D8}</author>
    <author>tc={98A81A2C-D101-4937-8406-B0041FD4BD35}</author>
    <author>tc={E2791433-D0B0-48B2-8F68-E44E7332F020}</author>
    <author>tc={AA474FAC-CFCA-4ACE-B3DF-BB7C041C3739}</author>
    <author>tc={76C28FD2-7DDB-4D6A-A625-7ADBB1194E3F}</author>
    <author>tc={65E943C9-74D1-44D8-A94A-025A71EBA6CA}</author>
    <author>tc={D95E36D3-2646-42B1-B25C-9C1475041712}</author>
    <author>tc={39E47DCC-C55D-4794-BBD2-7DBFA0888AF3}</author>
    <author>tc={16C3074E-C33A-421D-BA47-807DB5012B79}</author>
    <author>tc={2F542552-1682-4C09-80A2-6245BAEBDCD1}</author>
    <author>tc={8D678692-961B-4528-99B1-BAAF75638281}</author>
    <author>tc={FE25E0FC-5442-4A77-BA53-92A525ECAF65}</author>
    <author>tc={8A1A429C-7FB8-4158-9815-CA70A6020343}</author>
    <author>tc={7ED23CFE-6651-4E1E-9625-E9C4E2EB7843}</author>
    <author>tc={4FB71388-7660-4815-8F51-18324CE3CAAF}</author>
    <author>tc={B1A46DA4-E4C7-457E-9B80-6FC856FDD246}</author>
    <author>tc={14B1928D-FE1D-40F2-A1A2-770D3BD1C1F1}</author>
    <author>tc={CAA29644-BF94-4457-BF19-CFAFB8B463E5}</author>
    <author>tc={32B7AC15-4958-408F-B616-1A0A56644896}</author>
    <author>tc={C07407CC-9D38-4979-844D-8CDBE852AD40}</author>
    <author>tc={21900AC2-CB64-41AA-8D4A-19B743A8CB9B}</author>
    <author>tc={10F6629E-6CA8-4734-888A-80113BF4902B}</author>
    <author>tc={297E45AB-0B69-48D6-8C80-6D62EC5CFB5F}</author>
    <author>tc={F60C50A3-EE15-4860-BD83-0D9F76A15FB6}</author>
  </authors>
  <commentList>
    <comment ref="R10" authorId="0" shapeId="0" xr:uid="{0A6EE948-EF48-4914-8A6B-DFA2AB94F2DA}">
      <text>
        <t>[Threaded comment]
Your version of Excel allows you to read this threaded comment; however, any edits to it will get removed if the file is opened in a newer version of Excel. Learn more: https://go.microsoft.com/fwlink/?linkid=870924
Comment:
      PP   VALOR
456   1.000.000
Reply:
    1126          8.800.000</t>
      </text>
    </comment>
    <comment ref="R15" authorId="1" shapeId="0" xr:uid="{77DAC96A-4EC8-4E09-B019-D62FF4D55DD8}">
      <text>
        <t>[Threaded comment]
Your version of Excel allows you to read this threaded comment; however, any edits to it will get removed if the file is opened in a newer version of Excel. Learn more: https://go.microsoft.com/fwlink/?linkid=870924
Comment:
    PP                      VALOR
1194                    14.800.000</t>
      </text>
    </comment>
    <comment ref="R16" authorId="2" shapeId="0" xr:uid="{810168E6-417F-4874-9D9E-A5F2F50F9076}">
      <text>
        <t>[Threaded comment]
Your version of Excel allows you to read this threaded comment; however, any edits to it will get removed if the file is opened in a newer version of Excel. Learn more: https://go.microsoft.com/fwlink/?linkid=870924
Comment:
    PP           VALOR
899          14.800.000</t>
      </text>
    </comment>
    <comment ref="R19" authorId="3" shapeId="0" xr:uid="{947FA226-728D-47E0-8EDC-0B1FD7B087DD}">
      <text>
        <t>[Threaded comment]
Your version of Excel allows you to read this threaded comment; however, any edits to it will get removed if the file is opened in a newer version of Excel. Learn more: https://go.microsoft.com/fwlink/?linkid=870924
Comment:
     PP   VALOR
1093 14.800.000
569   14.800.000
456  15.000.000
524   14.800.000
Reply:
    1126       6.000.000</t>
      </text>
    </comment>
    <comment ref="R20" authorId="4" shapeId="0" xr:uid="{77147615-632C-494F-9726-254BB230E640}">
      <text>
        <t>[Threaded comment]
Your version of Excel allows you to read this threaded comment; however, any edits to it will get removed if the file is opened in a newer version of Excel. Learn more: https://go.microsoft.com/fwlink/?linkid=870924
Comment:
    PP             VALOR
1305      14.800.000
582        14.800.000
Reply:
    1301        14.800.000</t>
      </text>
    </comment>
    <comment ref="R22" authorId="5" shapeId="0" xr:uid="{BC1ED8C0-AB79-429E-8527-986E159CF8CC}">
      <text>
        <t>[Threaded comment]
Your version of Excel allows you to read this threaded comment; however, any edits to it will get removed if the file is opened in a newer version of Excel. Learn more: https://go.microsoft.com/fwlink/?linkid=870924
Comment:
    PP       VALOR
1237     11.600.000
1221     17.550.000
1358     17.550.000
535       15.600.000</t>
      </text>
    </comment>
    <comment ref="R23" authorId="6" shapeId="0" xr:uid="{DD98E096-B7E6-4BB9-88F6-0FFB5BC71734}">
      <text>
        <t>[Threaded comment]
Your version of Excel allows you to read this threaded comment; however, any edits to it will get removed if the file is opened in a newer version of Excel. Learn more: https://go.microsoft.com/fwlink/?linkid=870924
Comment:
    1343      16.000.000</t>
      </text>
    </comment>
    <comment ref="R25" authorId="7" shapeId="0" xr:uid="{29B4363C-5C05-479B-A260-649C29DCA29B}">
      <text>
        <t>[Threaded comment]
Your version of Excel allows you to read this threaded comment; however, any edits to it will get removed if the file is opened in a newer version of Excel. Learn more: https://go.microsoft.com/fwlink/?linkid=870924
Comment:
    1233   14.800.000</t>
      </text>
    </comment>
    <comment ref="R27" authorId="8" shapeId="0" xr:uid="{DE4AF00F-ACD0-4ACB-A9C8-30DA9E96E9EF}">
      <text>
        <t>[Threaded comment]
Your version of Excel allows you to read this threaded comment; however, any edits to it will get removed if the file is opened in a newer version of Excel. Learn more: https://go.microsoft.com/fwlink/?linkid=870924
Comment:
    PP    VALOR
210  20.000.000
385  24.000.000
825  24.000.000
1242 14.800.000
905   24.000.000
Reply:
    1247       24.000.000</t>
      </text>
    </comment>
    <comment ref="R29" authorId="9" shapeId="0" xr:uid="{85B5BA31-84D4-4A94-9F29-8683E45AE2E3}">
      <text>
        <t>[Threaded comment]
Your version of Excel allows you to read this threaded comment; however, any edits to it will get removed if the file is opened in a newer version of Excel. Learn more: https://go.microsoft.com/fwlink/?linkid=870924
Comment:
    PP     VALOR
772    12.000.000
Reply:
    395       10.800.000
Reply:
    1225       12.000.000
1350       12.000.000</t>
      </text>
    </comment>
    <comment ref="R32" authorId="10" shapeId="0" xr:uid="{C7CFC72B-4912-4C83-B8A8-96E640A0A128}">
      <text>
        <t>[Threaded comment]
Your version of Excel allows you to read this threaded comment; however, any edits to it will get removed if the file is opened in a newer version of Excel. Learn more: https://go.microsoft.com/fwlink/?linkid=870924
Comment:
    1241       14.800.000
783         14.800.000</t>
      </text>
    </comment>
    <comment ref="R33" authorId="11" shapeId="0" xr:uid="{0C98CF48-4576-42AA-96C2-F814DA92A9C0}">
      <text>
        <t>[Threaded comment]
Your version of Excel allows you to read this threaded comment; however, any edits to it will get removed if the file is opened in a newer version of Excel. Learn more: https://go.microsoft.com/fwlink/?linkid=870924
Comment:
    1239       14.800.000</t>
      </text>
    </comment>
    <comment ref="R34" authorId="12" shapeId="0" xr:uid="{73CEEB0A-7D88-42C3-9D7D-73BF956F9625}">
      <text>
        <t>[Threaded comment]
Your version of Excel allows you to read this threaded comment; however, any edits to it will get removed if the file is opened in a newer version of Excel. Learn more: https://go.microsoft.com/fwlink/?linkid=870924
Comment:
       PP     VALOR
864     10.800.000</t>
      </text>
    </comment>
    <comment ref="R40" authorId="13" shapeId="0" xr:uid="{70335B00-30DD-4ADA-BC91-5802EA9B3BDF}">
      <text>
        <t>[Threaded comment]
Your version of Excel allows you to read this threaded comment; however, any edits to it will get removed if the file is opened in a newer version of Excel. Learn more: https://go.microsoft.com/fwlink/?linkid=870924
Comment:
    PP    VALOR
662   14.800.000
895   14.800.000
871    10.800.000
466    14.800.000</t>
      </text>
    </comment>
    <comment ref="R41" authorId="14" shapeId="0" xr:uid="{80A76A43-4DE6-4458-B4B9-3300BA24A8A2}">
      <text>
        <t>[Threaded comment]
Your version of Excel allows you to read this threaded comment; however, any edits to it will get removed if the file is opened in a newer version of Excel. Learn more: https://go.microsoft.com/fwlink/?linkid=870924
Comment:
    PP      VALOR
725    16.000.000</t>
      </text>
    </comment>
    <comment ref="R42" authorId="15" shapeId="0" xr:uid="{E50B8D06-8307-4A04-BD4C-B1905630D2A6}">
      <text>
        <t>[Threaded comment]
Your version of Excel allows you to read this threaded comment; however, any edits to it will get removed if the file is opened in a newer version of Excel. Learn more: https://go.microsoft.com/fwlink/?linkid=870924
Comment:
    1243      16.000.000</t>
      </text>
    </comment>
    <comment ref="H131" authorId="16" shapeId="0" xr:uid="{00000000-0006-0000-0B00-000058000000}">
      <text>
        <r>
          <rPr>
            <b/>
            <sz val="9"/>
            <color indexed="81"/>
            <rFont val="Tahoma"/>
            <family val="2"/>
          </rPr>
          <t>USER:</t>
        </r>
        <r>
          <rPr>
            <sz val="9"/>
            <color indexed="81"/>
            <rFont val="Tahoma"/>
            <family val="2"/>
          </rPr>
          <t xml:space="preserve">
ERROR NOMBRE DE LA META.</t>
        </r>
      </text>
    </comment>
    <comment ref="R134" authorId="17" shapeId="0" xr:uid="{C49836D4-05FB-40B5-A5AA-56CEE3D9145C}">
      <text>
        <t>[Threaded comment]
Your version of Excel allows you to read this threaded comment; however, any edits to it will get removed if the file is opened in a newer version of Excel. Learn more: https://go.microsoft.com/fwlink/?linkid=870924
Comment:
    PP    VALOR
796  14.800.000
Reply:
    PP                 VALOR
1245               7.400.000
Reply:
    1100        5.400.000</t>
      </text>
    </comment>
    <comment ref="R135" authorId="18" shapeId="0" xr:uid="{5B005896-E604-4FF0-BAED-8DF020008A78}">
      <text>
        <t>[Threaded comment]
Your version of Excel allows you to read this threaded comment; however, any edits to it will get removed if the file is opened in a newer version of Excel. Learn more: https://go.microsoft.com/fwlink/?linkid=870924
Comment:
    PP                        VALOR
1245                    7.400.000
Reply:
    1100         5.400.000</t>
      </text>
    </comment>
    <comment ref="R136" authorId="19" shapeId="0" xr:uid="{16B47240-7658-460E-97CC-16468ED51542}">
      <text>
        <t>[Threaded comment]
Your version of Excel allows you to read this threaded comment; however, any edits to it will get removed if the file is opened in a newer version of Excel. Learn more: https://go.microsoft.com/fwlink/?linkid=870924
Comment:
    PP    VALOR
842  14.800.000</t>
      </text>
    </comment>
    <comment ref="R137" authorId="20" shapeId="0" xr:uid="{9612F911-27DD-4B31-8C11-46709F5C9E92}">
      <text>
        <t>[Threaded comment]
Your version of Excel allows you to read this threaded comment; however, any edits to it will get removed if the file is opened in a newer version of Excel. Learn more: https://go.microsoft.com/fwlink/?linkid=870924
Comment:
    PP    VALOR
851  12.000.000
Reply:
    1235     14.800.000</t>
      </text>
    </comment>
    <comment ref="R138" authorId="21" shapeId="0" xr:uid="{96068801-3656-4D74-A0AD-192E3F19C17D}">
      <text>
        <t>[Threaded comment]
Your version of Excel allows you to read this threaded comment; however, any edits to it will get removed if the file is opened in a newer version of Excel. Learn more: https://go.microsoft.com/fwlink/?linkid=870924
Comment:
    1107      18.000.000</t>
      </text>
    </comment>
    <comment ref="R140" authorId="22" shapeId="0" xr:uid="{F3B0429D-C4AD-43EE-A5C3-648A141F5C17}">
      <text>
        <t>[Threaded comment]
Your version of Excel allows you to read this threaded comment; however, any edits to it will get removed if the file is opened in a newer version of Excel. Learn more: https://go.microsoft.com/fwlink/?linkid=870924
Comment:
    PP         VALOR
870       10.800.000
759       14.800.000
1197      10.800.000
1069     14.800.000
Reply:
    1346          14.800.000</t>
      </text>
    </comment>
    <comment ref="R141" authorId="23" shapeId="0" xr:uid="{6E182E58-51A6-4E78-B80D-C6FF64E45329}">
      <text>
        <t>[Threaded comment]
Your version of Excel allows you to read this threaded comment; however, any edits to it will get removed if the file is opened in a newer version of Excel. Learn more: https://go.microsoft.com/fwlink/?linkid=870924
Comment:
    PP     VALOR 
167     1.733.333
162     1.850.0000
           1.733.333
164       1.200.000
1178     10.800.000
1283      18.000.000
1298      18.000.000
1312      18.000.000</t>
      </text>
    </comment>
    <comment ref="R142" authorId="24" shapeId="0" xr:uid="{649F6AA9-0956-466D-92BC-BCA9989D0781}">
      <text>
        <t>[Threaded comment]
Your version of Excel allows you to read this threaded comment; however, any edits to it will get removed if the file is opened in a newer version of Excel. Learn more: https://go.microsoft.com/fwlink/?linkid=870924
Comment:
      PP   VALOR
163     2.000.000
165     1.466.666
868   18.000.000
1337   18.000.000
Reply:
    964       18.000.000
1349      18.000.000</t>
      </text>
    </comment>
    <comment ref="R146" authorId="25" shapeId="0" xr:uid="{7DE6EF38-8ACE-444C-98CE-66A9BF968CD5}">
      <text>
        <t>[Threaded comment]
Your version of Excel allows you to read this threaded comment; however, any edits to it will get removed if the file is opened in a newer version of Excel. Learn more: https://go.microsoft.com/fwlink/?linkid=870924
Comment:
    PP           VALOR
663         14.800.000
965          10.800.000</t>
      </text>
    </comment>
    <comment ref="R147" authorId="26" shapeId="0" xr:uid="{ABB33DB0-CC4F-4427-B51C-FEB672D6AB61}">
      <text>
        <t>[Threaded comment]
Your version of Excel allows you to read this threaded comment; however, any edits to it will get removed if the file is opened in a newer version of Excel. Learn more: https://go.microsoft.com/fwlink/?linkid=870924
Comment:
    PP           VLR
1096     10.800.000
894       14.800.000
880       16.000.000</t>
      </text>
    </comment>
    <comment ref="R149" authorId="27" shapeId="0" xr:uid="{99FFF375-FF78-4C11-8F2F-FCBBCA99DE4F}">
      <text>
        <t>[Threaded comment]
Your version of Excel allows you to read this threaded comment; however, any edits to it will get removed if the file is opened in a newer version of Excel. Learn more: https://go.microsoft.com/fwlink/?linkid=870924
Comment:
       PP    VALOR
 664    12.000.000</t>
      </text>
    </comment>
    <comment ref="R154" authorId="28" shapeId="0" xr:uid="{A62A8B88-3513-43B0-B667-281C5D05105B}">
      <text>
        <t>[Threaded comment]
Your version of Excel allows you to read this threaded comment; however, any edits to it will get removed if the file is opened in a newer version of Excel. Learn more: https://go.microsoft.com/fwlink/?linkid=870924
Comment:
    1304      14.800.000</t>
      </text>
    </comment>
    <comment ref="R155" authorId="29" shapeId="0" xr:uid="{251C2F06-0241-4D0B-BFAA-245E20E34128}">
      <text>
        <t>[Threaded comment]
Your version of Excel allows you to read this threaded comment; however, any edits to it will get removed if the file is opened in a newer version of Excel. Learn more: https://go.microsoft.com/fwlink/?linkid=870924
Comment:
    PP    VALOR
634   16.000.000</t>
      </text>
    </comment>
    <comment ref="R156" authorId="30" shapeId="0" xr:uid="{4369638F-81F2-40DC-8EF7-D3597713A983}">
      <text>
        <t>[Threaded comment]
Your version of Excel allows you to read this threaded comment; however, any edits to it will get removed if the file is opened in a newer version of Excel. Learn more: https://go.microsoft.com/fwlink/?linkid=870924
Comment:
      PP   VALOR
1234  14.800.000</t>
      </text>
    </comment>
    <comment ref="R158" authorId="31" shapeId="0" xr:uid="{160DC038-41E8-4DBD-A5DC-0EE8488D53A9}">
      <text>
        <t>[Threaded comment]
Your version of Excel allows you to read this threaded comment; however, any edits to it will get removed if the file is opened in a newer version of Excel. Learn more: https://go.microsoft.com/fwlink/?linkid=870924
Comment:
    555   16.000.000
931  14.800.000
736   4.800.000
732   5.600.000
Reply:
    1211      14.800.000</t>
      </text>
    </comment>
    <comment ref="R159" authorId="32" shapeId="0" xr:uid="{20242FD1-E9AB-4314-8D09-56F66BCF1371}">
      <text>
        <t>[Threaded comment]
Your version of Excel allows you to read this threaded comment; however, any edits to it will get removed if the file is opened in a newer version of Excel. Learn more: https://go.microsoft.com/fwlink/?linkid=870924
Comment:
    PP           VALOR
1218       14.800.000
929         14.800.000
908         14.800.000
841         14.800.000</t>
      </text>
    </comment>
    <comment ref="R160" authorId="33" shapeId="0" xr:uid="{15625FE1-85FF-4812-AB7F-8C34BD9508CF}">
      <text>
        <t>[Threaded comment]
Your version of Excel allows you to read this threaded comment; however, any edits to it will get removed if the file is opened in a newer version of Excel. Learn more: https://go.microsoft.com/fwlink/?linkid=870924
Comment:
         PP    VALOR
   883   14.800.000  
  1291   14.800.000
    732     9.200.000
Reply:
    661        16.000.000</t>
      </text>
    </comment>
    <comment ref="R161" authorId="34" shapeId="0" xr:uid="{F17394AA-24C6-4A78-B8E8-77F2FC02405C}">
      <text>
        <t>[Threaded comment]
Your version of Excel allows you to read this threaded comment; however, any edits to it will get removed if the file is opened in a newer version of Excel. Learn more: https://go.microsoft.com/fwlink/?linkid=870924
Comment:
    PP    VALOR
774  14.800.000
803  14.800.000
Reply:
    1124      14.800.000
Reply:
    475      16.000.000</t>
      </text>
    </comment>
    <comment ref="R167" authorId="35" shapeId="0" xr:uid="{1035509C-F98E-4E26-A38A-F91B362FB768}">
      <text>
        <t>[Threaded comment]
Your version of Excel allows you to read this threaded comment; however, any edits to it will get removed if the file is opened in a newer version of Excel. Learn more: https://go.microsoft.com/fwlink/?linkid=870924
Comment:
    PP         VALOR
734      14.800.000</t>
      </text>
    </comment>
    <comment ref="R169" authorId="36" shapeId="0" xr:uid="{9B61116E-1A65-4E06-B6CA-A86255299D25}">
      <text>
        <t>[Threaded comment]
Your version of Excel allows you to read this threaded comment; however, any edits to it will get removed if the file is opened in a newer version of Excel. Learn more: https://go.microsoft.com/fwlink/?linkid=870924
Comment:
     PP     VALOR
1113  14.800.000</t>
      </text>
    </comment>
    <comment ref="R171" authorId="37" shapeId="0" xr:uid="{5CA36552-0478-4A29-8097-9638A9D90F33}">
      <text>
        <t>[Threaded comment]
Your version of Excel allows you to read this threaded comment; however, any edits to it will get removed if the file is opened in a newer version of Excel. Learn more: https://go.microsoft.com/fwlink/?linkid=870924
Comment:
    1341     12.000.000</t>
      </text>
    </comment>
    <comment ref="R173" authorId="38" shapeId="0" xr:uid="{A70BB136-4D51-4CB0-878F-56E561D16EA1}">
      <text>
        <t>[Threaded comment]
Your version of Excel allows you to read this threaded comment; however, any edits to it will get removed if the file is opened in a newer version of Excel. Learn more: https://go.microsoft.com/fwlink/?linkid=870924
Comment:
    PP            VALOR
599           5.400.000
1217          2.000.000</t>
      </text>
    </comment>
    <comment ref="R174" authorId="39" shapeId="0" xr:uid="{43C43EA7-FB2B-45B0-A549-3BE4C38D95D8}">
      <text>
        <t>[Threaded comment]
Your version of Excel allows you to read this threaded comment; however, any edits to it will get removed if the file is opened in a newer version of Excel. Learn more: https://go.microsoft.com/fwlink/?linkid=870924
Comment:
    511        14.800.000
1230         7.400.000</t>
      </text>
    </comment>
    <comment ref="R175" authorId="40" shapeId="0" xr:uid="{98A81A2C-D101-4937-8406-B0041FD4BD35}">
      <text>
        <t>[Threaded comment]
Your version of Excel allows you to read this threaded comment; however, any edits to it will get removed if the file is opened in a newer version of Excel. Learn more: https://go.microsoft.com/fwlink/?linkid=870924
Comment:
    PP    VALOR 
786    7.400.000</t>
      </text>
    </comment>
    <comment ref="R176" authorId="41" shapeId="0" xr:uid="{E2791433-D0B0-48B2-8F68-E44E7332F020}">
      <text>
        <t>[Threaded comment]
Your version of Excel allows you to read this threaded comment; however, any edits to it will get removed if the file is opened in a newer version of Excel. Learn more: https://go.microsoft.com/fwlink/?linkid=870924
Comment:
    PP      VALOR
599      5.000.000
511      2.400.000</t>
      </text>
    </comment>
    <comment ref="R177" authorId="42" shapeId="0" xr:uid="{AA474FAC-CFCA-4ACE-B3DF-BB7C041C3739}">
      <text>
        <t>[Threaded comment]
Your version of Excel allows you to read this threaded comment; however, any edits to it will get removed if the file is opened in a newer version of Excel. Learn more: https://go.microsoft.com/fwlink/?linkid=870924
Comment:
    1230      7.400.000</t>
      </text>
    </comment>
    <comment ref="R178" authorId="43" shapeId="0" xr:uid="{76C28FD2-7DDB-4D6A-A625-7ADBB1194E3F}">
      <text>
        <t>[Threaded comment]
Your version of Excel allows you to read this threaded comment; however, any edits to it will get removed if the file is opened in a newer version of Excel. Learn more: https://go.microsoft.com/fwlink/?linkid=870924
Comment:
    PP               VALOR
778           4.000.000
599           2.400.000
511          10.000.000
1217         2.000.000</t>
      </text>
    </comment>
    <comment ref="R180" authorId="44" shapeId="0" xr:uid="{65E943C9-74D1-44D8-A94A-025A71EBA6CA}">
      <text>
        <t>[Threaded comment]
Your version of Excel allows you to read this threaded comment; however, any edits to it will get removed if the file is opened in a newer version of Excel. Learn more: https://go.microsoft.com/fwlink/?linkid=870924
Comment:
    PP    VALOR 
778    6.000.000
786   3.700.000
1217 2.000.000</t>
      </text>
    </comment>
    <comment ref="R181" authorId="45" shapeId="0" xr:uid="{D95E36D3-2646-42B1-B25C-9C1475041712}">
      <text>
        <t>[Threaded comment]
Your version of Excel allows you to read this threaded comment; however, any edits to it will get removed if the file is opened in a newer version of Excel. Learn more: https://go.microsoft.com/fwlink/?linkid=870924
Comment:
    PP     VALOR 
778    2.800.000
786    3.700.000
1217   2.000.000</t>
      </text>
    </comment>
    <comment ref="R182" authorId="46" shapeId="0" xr:uid="{39E47DCC-C55D-4794-BBD2-7DBFA0888AF3}">
      <text>
        <t>[Threaded comment]
Your version of Excel allows you to read this threaded comment; however, any edits to it will get removed if the file is opened in a newer version of Excel. Learn more: https://go.microsoft.com/fwlink/?linkid=870924
Comment:
    PP              VALOR
778            2.000.000
599            2,000.000
1217          1.200.000</t>
      </text>
    </comment>
    <comment ref="R183" authorId="47" shapeId="0" xr:uid="{16C3074E-C33A-421D-BA47-807DB5012B79}">
      <text>
        <t>[Threaded comment]
Your version of Excel allows you to read this threaded comment; however, any edits to it will get removed if the file is opened in a newer version of Excel. Learn more: https://go.microsoft.com/fwlink/?linkid=870924
Comment:
    PP     VALOR
545   14.800.000
731    14.800.000</t>
      </text>
    </comment>
    <comment ref="R184" authorId="48" shapeId="0" xr:uid="{2F542552-1682-4C09-80A2-6245BAEBDCD1}">
      <text>
        <t>[Threaded comment]
Your version of Excel allows you to read this threaded comment; however, any edits to it will get removed if the file is opened in a newer version of Excel. Learn more: https://go.microsoft.com/fwlink/?linkid=870924
Comment:
    PP   VALOR
823 14.800.000
Reply:
    813    14.800.000</t>
      </text>
    </comment>
    <comment ref="R185" authorId="49" shapeId="0" xr:uid="{8D678692-961B-4528-99B1-BAAF75638281}">
      <text>
        <t>[Threaded comment]
Your version of Excel allows you to read this threaded comment; however, any edits to it will get removed if the file is opened in a newer version of Excel. Learn more: https://go.microsoft.com/fwlink/?linkid=870924
Comment:
    769     14.800.000</t>
      </text>
    </comment>
    <comment ref="R186" authorId="50" shapeId="0" xr:uid="{FE25E0FC-5442-4A77-BA53-92A525ECAF65}">
      <text>
        <t>[Threaded comment]
Your version of Excel allows you to read this threaded comment; however, any edits to it will get removed if the file is opened in a newer version of Excel. Learn more: https://go.microsoft.com/fwlink/?linkid=870924
Comment:
    PP             VALOR
481          14.800.000</t>
      </text>
    </comment>
    <comment ref="R188" authorId="51" shapeId="0" xr:uid="{8A1A429C-7FB8-4158-9815-CA70A6020343}">
      <text>
        <t>[Threaded comment]
Your version of Excel allows you to read this threaded comment; however, any edits to it will get removed if the file is opened in a newer version of Excel. Learn more: https://go.microsoft.com/fwlink/?linkid=870924
Comment:
    PP                     VALOR 
666                    10.800.000
719                     14.800.000
817                      9.200.000</t>
      </text>
    </comment>
    <comment ref="R194" authorId="52" shapeId="0" xr:uid="{7ED23CFE-6651-4E1E-9625-E9C4E2EB7843}">
      <text>
        <t>[Threaded comment]
Your version of Excel allows you to read this threaded comment; however, any edits to it will get removed if the file is opened in a newer version of Excel. Learn more: https://go.microsoft.com/fwlink/?linkid=870924
Comment:
    PP   VALOR
485   14.800.000
Reply:
    1118     14.800.000</t>
      </text>
    </comment>
    <comment ref="R195" authorId="53" shapeId="0" xr:uid="{4FB71388-7660-4815-8F51-18324CE3CAAF}">
      <text>
        <t>[Threaded comment]
Your version of Excel allows you to read this threaded comment; however, any edits to it will get removed if the file is opened in a newer version of Excel. Learn more: https://go.microsoft.com/fwlink/?linkid=870924
Comment:
      PP     VALOR
1128  14.800.000
Reply:
    1300     16.000.000</t>
      </text>
    </comment>
    <comment ref="R197" authorId="54" shapeId="0" xr:uid="{B1A46DA4-E4C7-457E-9B80-6FC856FDD246}">
      <text>
        <t>[Threaded comment]
Your version of Excel allows you to read this threaded comment; however, any edits to it will get removed if the file is opened in a newer version of Excel. Learn more: https://go.microsoft.com/fwlink/?linkid=870924
Comment:
    PP             VALOR
849          8.100.000
861          6.900.000
1106        8.100.000
Reply:
    1190        6.900.000</t>
      </text>
    </comment>
    <comment ref="R198" authorId="55" shapeId="0" xr:uid="{14B1928D-FE1D-40F2-A1A2-770D3BD1C1F1}">
      <text>
        <t>[Threaded comment]
Your version of Excel allows you to read this threaded comment; however, any edits to it will get removed if the file is opened in a newer version of Excel. Learn more: https://go.microsoft.com/fwlink/?linkid=870924
Comment:
      PP   VALOR
1098  11.100.000
Reply:
    1290    6.900.000
507      14.800.000
1111     9.200.000</t>
      </text>
    </comment>
    <comment ref="R200" authorId="56" shapeId="0" xr:uid="{CAA29644-BF94-4457-BF19-CFAFB8B463E5}">
      <text>
        <t>[Threaded comment]
Your version of Excel allows you to read this threaded comment; however, any edits to it will get removed if the file is opened in a newer version of Excel. Learn more: https://go.microsoft.com/fwlink/?linkid=870924
Comment:
    PP            VALOR
914     11.100.000</t>
      </text>
    </comment>
    <comment ref="R201" authorId="57" shapeId="0" xr:uid="{32B7AC15-4958-408F-B616-1A0A56644896}">
      <text>
        <t>[Threaded comment]
Your version of Excel allows you to read this threaded comment; however, any edits to it will get removed if the file is opened in a newer version of Excel. Learn more: https://go.microsoft.com/fwlink/?linkid=870924
Comment:
    PP          VALOR
760       14.800.000
609     16.000.000
853      10.800.000
847      14.800.000
Reply:
    658      10.000.000
653    16.000.000
1216   14.800.000
1220    16.000.000 
Reply:
    775    10.800.000
467    10.800.000
464    10.800.000
Reply:
    1145     14.800.000</t>
      </text>
    </comment>
    <comment ref="R202" authorId="58" shapeId="0" xr:uid="{C07407CC-9D38-4979-844D-8CDBE852AD40}">
      <text>
        <t>[Threaded comment]
Your version of Excel allows you to read this threaded comment; however, any edits to it will get removed if the file is opened in a newer version of Excel. Learn more: https://go.microsoft.com/fwlink/?linkid=870924
Comment:
    PP            VALOR
1347        10.800.000
1240         12.000.000</t>
      </text>
    </comment>
    <comment ref="R203" authorId="59" shapeId="0" xr:uid="{21900AC2-CB64-41AA-8D4A-19B743A8CB9B}">
      <text>
        <t>[Threaded comment]
Your version of Excel allows you to read this threaded comment; however, any edits to it will get removed if the file is opened in a newer version of Excel. Learn more: https://go.microsoft.com/fwlink/?linkid=870924
Comment:
      PP   VALOR
1316 10.000.000</t>
      </text>
    </comment>
    <comment ref="R207" authorId="60" shapeId="0" xr:uid="{10F6629E-6CA8-4734-888A-80113BF4902B}">
      <text>
        <t>[Threaded comment]
Your version of Excel allows you to read this threaded comment; however, any edits to it will get removed if the file is opened in a newer version of Excel. Learn more: https://go.microsoft.com/fwlink/?linkid=870924
Comment:
    1109     16.000.000</t>
      </text>
    </comment>
    <comment ref="R209" authorId="61" shapeId="0" xr:uid="{297E45AB-0B69-48D6-8C80-6D62EC5CFB5F}">
      <text>
        <t>[Threaded comment]
Your version of Excel allows you to read this threaded comment; however, any edits to it will get removed if the file is opened in a newer version of Excel. Learn more: https://go.microsoft.com/fwlink/?linkid=870924
Comment:
    PP   VALOR 
145   15.416.000
148    15.396.000
141    82.148.000
142    28.040.000
146    44.872.000
147   49.080.000
135     117.744.000
143    17.520.000
144    17.520.000
140    19.624.000</t>
      </text>
    </comment>
    <comment ref="R210" authorId="62" shapeId="0" xr:uid="{F60C50A3-EE15-4860-BD83-0D9F76A15FB6}">
      <text>
        <t>[Threaded comment]
Your version of Excel allows you to read this threaded comment; however, any edits to it will get removed if the file is opened in a newer version of Excel. Learn more: https://go.microsoft.com/fwlink/?linkid=870924
Comment:
    PP    VALOR 
166    986.667
150    19.624.000
151     123.034.000
149     38.560.000
857     16.000.000
724     16.000.000
1333   16.000.000
170     640.000.000</t>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tc={A4B9E527-CB29-4ADA-817B-3E6ACD8A5E83}</author>
    <author>tc={09A8508A-DBAA-4FB4-9EA6-9D249929BECC}</author>
    <author>tc={32CE46CE-DA9D-4DE0-960A-FAFC57D7492E}</author>
    <author>tc={26D43E2B-F434-4D14-8AB7-B4A72D1A2F18}</author>
    <author>tc={2F16A4E9-C6C5-49AF-B0F4-43D58CD9C03B}</author>
    <author>tc={1959E966-DFB7-45F0-A1CE-4E7148D6E72C}</author>
    <author>tc={5A00045D-1DC7-406F-83EF-A3B9B8498E8C}</author>
    <author>tc={1AA8DD87-8280-4F36-9588-8CBA596ED8E2}</author>
    <author>tc={9EB507AD-A0BE-44F0-B894-E55EC076EC7B}</author>
    <author>tc={6EC4042C-6199-4D0D-832B-A1F52247089D}</author>
    <author>tc={EAC93AEB-8475-4EB1-85D5-A26954B1908A}</author>
    <author>tc={D748492D-C828-494D-9AE4-0EB0172C7E46}</author>
    <author>tc={5F3539C5-B01D-4FF9-BA0D-38ADF4BE01A4}</author>
    <author>tc={C01B668E-7C62-4B14-899E-FE7AB9793009}</author>
    <author>tc={77980701-647B-4795-B747-55058C65768A}</author>
    <author>tc={C9215BCE-0EDB-4675-AC1B-5603763386C5}</author>
    <author>tc={8E623389-BC5E-48DA-B484-CADB3CFB4089}</author>
    <author>tc={E55779CF-B7CA-44CC-9DDC-8C44F78F37BA}</author>
    <author>tc={37B74A91-A013-42D0-A437-DE7C06749EB5}</author>
    <author>tc={E9ACC6BA-C642-436F-8F64-2965B4EF9C74}</author>
    <author>tc={62B3C63F-222A-4645-A8EE-AB6B24482978}</author>
  </authors>
  <commentList>
    <comment ref="R10" authorId="0" shapeId="0" xr:uid="{A4B9E527-CB29-4ADA-817B-3E6ACD8A5E83}">
      <text>
        <t>[Threaded comment]
Your version of Excel allows you to read this threaded comment; however, any edits to it will get removed if the file is opened in a newer version of Excel. Learn more: https://go.microsoft.com/fwlink/?linkid=870924
Comment:
    PP    VALOR 
68     12.000.000</t>
      </text>
    </comment>
    <comment ref="R11" authorId="1" shapeId="0" xr:uid="{09A8508A-DBAA-4FB4-9EA6-9D249929BECC}">
      <text>
        <t>[Threaded comment]
Your version of Excel allows you to read this threaded comment; however, any edits to it will get removed if the file is opened in a newer version of Excel. Learn more: https://go.microsoft.com/fwlink/?linkid=870924
Comment:
    PP     VALOR 
29    14.800.000</t>
      </text>
    </comment>
    <comment ref="R12" authorId="2" shapeId="0" xr:uid="{32CE46CE-DA9D-4DE0-960A-FAFC57D7492E}">
      <text>
        <t>[Threaded comment]
Your version of Excel allows you to read this threaded comment; however, any edits to it will get removed if the file is opened in a newer version of Excel. Learn more: https://go.microsoft.com/fwlink/?linkid=870924
Comment:
    PP            VLR
7         9.600.000
15     14.800.000
32       9.600.000
56     16.000.000
46     12.000.000
43       9.600.000
44     14.800.000
45     14.800.000
47     12.000.000
52     14.800.000
53     14.800.000
54     14.800.000
55     9.600.000
57     10.800.000
45     14.800.000
Reply:
    51   14.800.000
Reply:
    50   14.800.000
Reply:
    48  10.800.000
Reply:
    49   10.800.000
Reply:
    47   12.000.000</t>
      </text>
    </comment>
    <comment ref="S12" authorId="3" shapeId="0" xr:uid="{26D43E2B-F434-4D14-8AB7-B4A72D1A2F18}">
      <text>
        <t>[Threaded comment]
Your version of Excel allows you to read this threaded comment; however, any edits to it will get removed if the file is opened in a newer version of Excel. Learn more: https://go.microsoft.com/fwlink/?linkid=870924
Comment:
    PP   CBPP   VALOR 
45   371    14.800.000</t>
      </text>
    </comment>
    <comment ref="R13" authorId="4" shapeId="0" xr:uid="{2F16A4E9-C6C5-49AF-B0F4-43D58CD9C03B}">
      <text>
        <t>[Threaded comment]
Your version of Excel allows you to read this threaded comment; however, any edits to it will get removed if the file is opened in a newer version of Excel. Learn more: https://go.microsoft.com/fwlink/?linkid=870924
Comment:
    PP    VALOR
58     16.000.000
59      12.000.000</t>
      </text>
    </comment>
    <comment ref="R15" authorId="5" shapeId="0" xr:uid="{1959E966-DFB7-45F0-A1CE-4E7148D6E72C}">
      <text>
        <t>[Threaded comment]
Your version of Excel allows you to read this threaded comment; however, any edits to it will get removed if the file is opened in a newer version of Excel. Learn more: https://go.microsoft.com/fwlink/?linkid=870924
Comment:
    PP                VALOR
60          14.800.000
62          10.800.000
63      10.800.000
65      9.600.000</t>
      </text>
    </comment>
    <comment ref="S15" authorId="6" shapeId="0" xr:uid="{5A00045D-1DC7-406F-83EF-A3B9B8498E8C}">
      <text>
        <t>[Threaded comment]
Your version of Excel allows you to read this threaded comment; however, any edits to it will get removed if the file is opened in a newer version of Excel. Learn more: https://go.microsoft.com/fwlink/?linkid=870924
Comment:
    PP    VALOR 
61     9.600.000</t>
      </text>
    </comment>
    <comment ref="R16" authorId="7" shapeId="0" xr:uid="{1AA8DD87-8280-4F36-9588-8CBA596ED8E2}">
      <text>
        <t>[Threaded comment]
Your version of Excel allows you to read this threaded comment; however, any edits to it will get removed if the file is opened in a newer version of Excel. Learn more: https://go.microsoft.com/fwlink/?linkid=870924
Comment:
    PP     VALOR 
8     6.000.000
18    14.800.000
17     20.000.000
Reply:
    75    14.800.000</t>
      </text>
    </comment>
    <comment ref="S16" authorId="8" shapeId="0" xr:uid="{9EB507AD-A0BE-44F0-B894-E55EC076EC7B}">
      <text>
        <t>[Threaded comment]
Your version of Excel allows you to read this threaded comment; however, any edits to it will get removed if the file is opened in a newer version of Excel. Learn more: https://go.microsoft.com/fwlink/?linkid=870924
Comment:
    PP   CBPP     VALOR 
18   161     14.800.000</t>
      </text>
    </comment>
    <comment ref="R17" authorId="9" shapeId="0" xr:uid="{6EC4042C-6199-4D0D-832B-A1F52247089D}">
      <text>
        <t>[Threaded comment]
Your version of Excel allows you to read this threaded comment; however, any edits to it will get removed if the file is opened in a newer version of Excel. Learn more: https://go.microsoft.com/fwlink/?linkid=870924
Comment:
    PP     VALOR 
66     14.800.000
69     4.000.000</t>
      </text>
    </comment>
    <comment ref="R18" authorId="10" shapeId="0" xr:uid="{EAC93AEB-8475-4EB1-85D5-A26954B1908A}">
      <text>
        <t>[Threaded comment]
Your version of Excel allows you to read this threaded comment; however, any edits to it will get removed if the file is opened in a newer version of Excel. Learn more: https://go.microsoft.com/fwlink/?linkid=870924
Comment:
    PP   VALOR 
69   4.000.000</t>
      </text>
    </comment>
    <comment ref="R19" authorId="11" shapeId="0" xr:uid="{D748492D-C828-494D-9AE4-0EB0172C7E46}">
      <text>
        <t>[Threaded comment]
Your version of Excel allows you to read this threaded comment; however, any edits to it will get removed if the file is opened in a newer version of Excel. Learn more: https://go.microsoft.com/fwlink/?linkid=870924
Comment:
    64     14.800.000
69     4.000.000</t>
      </text>
    </comment>
    <comment ref="R22" authorId="12" shapeId="0" xr:uid="{5F3539C5-B01D-4FF9-BA0D-38ADF4BE01A4}">
      <text>
        <t>[Threaded comment]
Your version of Excel allows you to read this threaded comment; however, any edits to it will get removed if the file is opened in a newer version of Excel. Learn more: https://go.microsoft.com/fwlink/?linkid=870924
Comment:
    PP      VALOR
12    14.800.000
33      9.600.000
30     16.000.000</t>
      </text>
    </comment>
    <comment ref="R23" authorId="13" shapeId="0" xr:uid="{C01B668E-7C62-4B14-899E-FE7AB9793009}">
      <text>
        <t>[Threaded comment]
Your version of Excel allows you to read this threaded comment; however, any edits to it will get removed if the file is opened in a newer version of Excel. Learn more: https://go.microsoft.com/fwlink/?linkid=870924
Comment:
    PP    VALOR 
11    16.000.000
27    14.800.000
26    14.800.000
34    10.800.000</t>
      </text>
    </comment>
    <comment ref="R24" authorId="14" shapeId="0" xr:uid="{77980701-647B-4795-B747-55058C65768A}">
      <text>
        <t>[Threaded comment]
Your version of Excel allows you to read this threaded comment; however, any edits to it will get removed if the file is opened in a newer version of Excel. Learn more: https://go.microsoft.com/fwlink/?linkid=870924
Comment:
    PP    VALOR
9   20.000.000
10  14.800.000
28   17.200.000
Reply:
    24    16.000.000</t>
      </text>
    </comment>
    <comment ref="Q28" authorId="15" shapeId="0" xr:uid="{C9215BCE-0EDB-4675-AC1B-5603763386C5}">
      <text>
        <t>[Threaded comment]
Your version of Excel allows you to read this threaded comment; however, any edits to it will get removed if the file is opened in a newer version of Excel. Learn more: https://go.microsoft.com/fwlink/?linkid=870924
Comment:
    Traslado entre actividades 60.000.000 6-01-2025</t>
      </text>
    </comment>
    <comment ref="R28" authorId="16" shapeId="0" xr:uid="{8E623389-BC5E-48DA-B484-CADB3CFB4089}">
      <text>
        <t>[Threaded comment]
Your version of Excel allows you to read this threaded comment; however, any edits to it will get removed if the file is opened in a newer version of Excel. Learn more: https://go.microsoft.com/fwlink/?linkid=870924
Comment:
    PP      VALOR 
16     14.800.000
19     14.800.000
23      14.800.000
20      14.800.000
36      10.800.000
40      10.800.000
39      10.800.000
38      14.800.000
37      12.000.000
41      10.800.000
35      12.000.000
31      14.800.000
67      14.800.000
Reply:
    42     12.000.000</t>
      </text>
    </comment>
    <comment ref="Q29" authorId="17" shapeId="0" xr:uid="{E55779CF-B7CA-44CC-9DDC-8C44F78F37BA}">
      <text>
        <t>[Threaded comment]
Your version of Excel allows you to read this threaded comment; however, any edits to it will get removed if the file is opened in a newer version of Excel. Learn more: https://go.microsoft.com/fwlink/?linkid=870924
Comment:
    Traslado entre actividades 60.000.000 6-01-2025</t>
      </text>
    </comment>
    <comment ref="R29" authorId="18" shapeId="0" xr:uid="{37B74A91-A013-42D0-A437-DE7C06749EB5}">
      <text>
        <t>[Threaded comment]
Your version of Excel allows you to read this threaded comment; however, any edits to it will get removed if the file is opened in a newer version of Excel. Learn more: https://go.microsoft.com/fwlink/?linkid=870924
Comment:
    PP          VLR
100    60.000.000</t>
      </text>
    </comment>
    <comment ref="R30" authorId="19" shapeId="0" xr:uid="{E9ACC6BA-C642-436F-8F64-2965B4EF9C74}">
      <text>
        <t>[Threaded comment]
Your version of Excel allows you to read this threaded comment; however, any edits to it will get removed if the file is opened in a newer version of Excel. Learn more: https://go.microsoft.com/fwlink/?linkid=870924
Comment:
    PP     VALOR 
21     14.800.000
20   14.800.000</t>
      </text>
    </comment>
    <comment ref="R31" authorId="20" shapeId="0" xr:uid="{62B3C63F-222A-4645-A8EE-AB6B24482978}">
      <text>
        <t>[Threaded comment]
Your version of Excel allows you to read this threaded comment; however, any edits to it will get removed if the file is opened in a newer version of Excel. Learn more: https://go.microsoft.com/fwlink/?linkid=870924
Comment:
    PP       VALOR 
8     8.800.000
13   12.000.000
14   14.800.000
25    14.800.000</t>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tc={AE3F6582-E450-44F9-AEB0-72D9962F358D}</author>
    <author>tc={710E4C40-C631-44A4-8F1E-FBDFE3FA3AFC}</author>
    <author>tc={E1342274-C0E0-4802-8D6D-A61E356CBAD9}</author>
    <author>tc={5966EA59-218D-4E1D-8A99-B372E3968E9C}</author>
    <author>tc={0EBD0769-7D6B-4603-A9A8-66C731C4D15C}</author>
    <author>tc={6D88A439-632B-4A05-98C0-2BBD9D8B3B3A}</author>
    <author>tc={A632EA19-7159-4058-B94D-E372A53B13AA}</author>
    <author>tc={4A008F65-6B56-469D-ABB9-F24CB7247A9B}</author>
    <author>tc={D3663810-28B7-44CC-97EA-C2671504090E}</author>
    <author>tc={E3ABE901-615B-4625-9FF8-6AD3D58FA56A}</author>
    <author>tc={B6E19535-F4B5-47D7-915D-719E199B51C0}</author>
    <author>tc={32E8FD7A-5B1D-43CB-9E52-C71932FE5359}</author>
    <author>tc={7F5D307A-8141-4C4F-8C38-8D0135E323E6}</author>
    <author>tc={638DF592-67C9-4380-9D73-342FD07B9C96}</author>
    <author>tc={50D4BEA1-FAF8-493D-B623-F8E760F10595}</author>
    <author>tc={EF4E496D-DF91-4AAE-81F7-9073898589DF}</author>
    <author>tc={B6529F16-61BA-4A3F-B1C9-D7946D0DDCB4}</author>
    <author>tc={4D609DEF-2C09-4371-9F4E-95A7DB8C40EC}</author>
    <author>tc={3D634B8F-A779-4EE4-869D-8B6EC248FD7B}</author>
    <author>tc={E1375839-FEE2-4CAD-9972-65DA2BAB2C92}</author>
    <author>tc={DA83A697-830B-4331-B80A-6496D9FAD19D}</author>
    <author>tc={F62FB124-F5C3-46D5-9D95-426FFE24E5B2}</author>
    <author>tc={329C4F54-E589-4BBF-B62E-73E3F8EFE9BC}</author>
    <author>tc={9C678A5E-6322-4BE8-8364-D729B6563CE7}</author>
    <author>tc={0408FCC3-A315-4635-A166-E60144E8F5E8}</author>
    <author>tc={ABB6C6C5-72B8-46D3-A0CA-6BCA3185470E}</author>
    <author>tc={8DE63992-3600-4A7C-8E5F-CBFA4C9274FD}</author>
    <author>tc={6B95541E-E4FA-4F94-A7D7-EDACE7E06575}</author>
    <author>tc={9D92613A-690A-49AE-AA97-394D36C23B92}</author>
    <author>tc={7484E856-A26F-4B26-A5F4-8B5ABBC72815}</author>
    <author>tc={77E52782-7D95-4CBF-AD0A-01B9D7877F17}</author>
    <author>tc={9E5F34CA-850E-417A-B185-0E637C017A72}</author>
    <author>tc={6EF9ACA8-60FF-4797-8A01-0CF4D0A1ED28}</author>
    <author>tc={25347B10-605E-4659-87B2-7A170FF40DF6}</author>
    <author>tc={2087B94B-C685-423A-977E-01C549DC8709}</author>
    <author>tc={EE197A46-6F16-4CAA-B848-9FB27F7E52CD}</author>
  </authors>
  <commentList>
    <comment ref="Q20" authorId="0" shapeId="0" xr:uid="{AE3F6582-E450-44F9-AEB0-72D9962F358D}">
      <text>
        <t>[Threaded comment]
Your version of Excel allows you to read this threaded comment; however, any edits to it will get removed if the file is opened in a newer version of Excel. Learn more: https://go.microsoft.com/fwlink/?linkid=870924
Comment:
    Traslado entre actividades $ 88.000.000 8-01-2026</t>
      </text>
    </comment>
    <comment ref="R23" authorId="1" shapeId="0" xr:uid="{710E4C40-C631-44A4-8F1E-FBDFE3FA3AFC}">
      <text>
        <t>[Threaded comment]
Your version of Excel allows you to read this threaded comment; however, any edits to it will get removed if the file is opened in a newer version of Excel. Learn more: https://go.microsoft.com/fwlink/?linkid=870924
Comment:
    PP          VLR
100    10.000.000</t>
      </text>
    </comment>
    <comment ref="Q24" authorId="2" shapeId="0" xr:uid="{E1342274-C0E0-4802-8D6D-A61E356CBAD9}">
      <text>
        <t>[Threaded comment]
Your version of Excel allows you to read this threaded comment; however, any edits to it will get removed if the file is opened in a newer version of Excel. Learn more: https://go.microsoft.com/fwlink/?linkid=870924
Comment:
    Traslado entre actividades $ 88.000.000 8-01-2026</t>
      </text>
    </comment>
    <comment ref="R24" authorId="3" shapeId="0" xr:uid="{5966EA59-218D-4E1D-8A99-B372E3968E9C}">
      <text>
        <t>[Threaded comment]
Your version of Excel allows you to read this threaded comment; however, any edits to it will get removed if the file is opened in a newer version of Excel. Learn more: https://go.microsoft.com/fwlink/?linkid=870924
Comment:
    PP     VALOR 
203    4.000.000
206    5.400.000
238    6.000.000
287     3.200.000
284     3.200.000
421    2.000.000
420     3.200.000
408    3.200.000
404    2.800.000
1055   3.200.000
1052    3.200.000
1065    4.800.000
1066    4.800.000
1074    4.000.000
1067    1.000.000
1071     4.000.000
1076     4.400.000</t>
      </text>
    </comment>
    <comment ref="Q26" authorId="4" shapeId="0" xr:uid="{0EBD0769-7D6B-4603-A9A8-66C731C4D15C}">
      <text>
        <t>[Threaded comment]
Your version of Excel allows you to read this threaded comment; however, any edits to it will get removed if the file is opened in a newer version of Excel. Learn more: https://go.microsoft.com/fwlink/?linkid=870924
Comment:
    Traslado entre actividades $ 133.433.964  8-01-2026</t>
      </text>
    </comment>
    <comment ref="Q29" authorId="5" shapeId="0" xr:uid="{6D88A439-632B-4A05-98C0-2BBD9D8B3B3A}">
      <text>
        <t>[Threaded comment]
Your version of Excel allows you to read this threaded comment; however, any edits to it will get removed if the file is opened in a newer version of Excel. Learn more: https://go.microsoft.com/fwlink/?linkid=870924
Comment:
    Traslado entre actividades $ 133.433.964  8-01-2026</t>
      </text>
    </comment>
    <comment ref="R29" authorId="6" shapeId="0" xr:uid="{A632EA19-7159-4058-B94D-E372A53B13AA}">
      <text>
        <t>[Threaded comment]
Your version of Excel allows you to read this threaded comment; however, any edits to it will get removed if the file is opened in a newer version of Excel. Learn more: https://go.microsoft.com/fwlink/?linkid=870924
Comment:
    PP     VALOR 
304    2.800.000
295   6.800.000
194    7.400.000
307    6.800.000
208    7.400.000
319     16.000.000
321    8.000.000
1056   4.800.000
1041   6.000.000
1078   9.200.000
Reply:
    1039       8.000.000
389       8.000.000
Reply:
    407     8.000.000
1067    4.000.000</t>
      </text>
    </comment>
    <comment ref="R30" authorId="7" shapeId="0" xr:uid="{4A008F65-6B56-469D-ABB9-F24CB7247A9B}">
      <text>
        <t>[Threaded comment]
Your version of Excel allows you to read this threaded comment; however, any edits to it will get removed if the file is opened in a newer version of Excel. Learn more: https://go.microsoft.com/fwlink/?linkid=870924
Comment:
    PP    VALOR 
193    12.000.000
234    4.000.000
197    4.000.000</t>
      </text>
    </comment>
    <comment ref="R31" authorId="8" shapeId="0" xr:uid="{D3663810-28B7-44CC-97EA-C2671504090E}">
      <text>
        <t>[Threaded comment]
Your version of Excel allows you to read this threaded comment; however, any edits to it will get removed if the file is opened in a newer version of Excel. Learn more: https://go.microsoft.com/fwlink/?linkid=870924
Comment:
    PP         VLR
100    10.000.000</t>
      </text>
    </comment>
    <comment ref="R32" authorId="9" shapeId="0" xr:uid="{E3ABE901-615B-4625-9FF8-6AD3D58FA56A}">
      <text>
        <t>[Threaded comment]
Your version of Excel allows you to read this threaded comment; however, any edits to it will get removed if the file is opened in a newer version of Excel. Learn more: https://go.microsoft.com/fwlink/?linkid=870924
Comment:
    PP    VALOR
190         60.018.351
1399    388.000.000</t>
      </text>
    </comment>
    <comment ref="R33" authorId="10" shapeId="0" xr:uid="{B6E19535-F4B5-47D7-915D-719E199B51C0}">
      <text>
        <t>[Threaded comment]
Your version of Excel allows you to read this threaded comment; however, any edits to it will get removed if the file is opened in a newer version of Excel. Learn more: https://go.microsoft.com/fwlink/?linkid=870924
Comment:
    PP    VALOR 
92       57.890.996
184   356.902.165</t>
      </text>
    </comment>
    <comment ref="R37" authorId="11" shapeId="0" xr:uid="{32E8FD7A-5B1D-43CB-9E52-C71932FE5359}">
      <text>
        <t>[Threaded comment]
Your version of Excel allows you to read this threaded comment; however, any edits to it will get removed if the file is opened in a newer version of Excel. Learn more: https://go.microsoft.com/fwlink/?linkid=870924
Comment:
    PP     VALOR 
194    7.400.000
208    7.400.000
389     8.000.000
430     16.000.000
1075     3.000.000</t>
      </text>
    </comment>
    <comment ref="R38" authorId="12" shapeId="0" xr:uid="{7F5D307A-8141-4C4F-8C38-8D0135E323E6}">
      <text>
        <t>[Threaded comment]
Your version of Excel allows you to read this threaded comment; however, any edits to it will get removed if the file is opened in a newer version of Excel. Learn more: https://go.microsoft.com/fwlink/?linkid=870924
Comment:
    PP        VLR
100   10.000.000</t>
      </text>
    </comment>
    <comment ref="R39" authorId="13" shapeId="0" xr:uid="{638DF592-67C9-4380-9D73-342FD07B9C96}">
      <text>
        <t>[Threaded comment]
Your version of Excel allows you to read this threaded comment; however, any edits to it will get removed if the file is opened in a newer version of Excel. Learn more: https://go.microsoft.com/fwlink/?linkid=870924
Comment:
    PP    VALOR
295   8.000.000
307    8.000.000
239   14.800.000
234    8.000.000
320    16.000.000
321     8.000.000
1056   7.400.000
1041   6.000.000
370     7.400.000
1078   8.000.000
Reply:
    1039     8.000.000
1043   16.000.000
Reply:
    407     8.000.000</t>
      </text>
    </comment>
    <comment ref="R40" authorId="14" shapeId="0" xr:uid="{50D4BEA1-FAF8-493D-B623-F8E760F10595}">
      <text>
        <t>[Threaded comment]
Your version of Excel allows you to read this threaded comment; however, any edits to it will get removed if the file is opened in a newer version of Excel. Learn more: https://go.microsoft.com/fwlink/?linkid=870924
Comment:
    PP    VALOR
188   378.215.548</t>
      </text>
    </comment>
    <comment ref="R44" authorId="15" shapeId="0" xr:uid="{EF4E496D-DF91-4AAE-81F7-9073898589DF}">
      <text>
        <t>[Threaded comment]
Your version of Excel allows you to read this threaded comment; however, any edits to it will get removed if the file is opened in a newer version of Excel. Learn more: https://go.microsoft.com/fwlink/?linkid=870924
Comment:
    PP       VALOR 
301    1.200.000
297     8.000.000
203     5.600.000
216    4.000.000
234    2.800.000
206    5.400.000
195    4.000.000
197     12.000.000
238      6.000.000
287     6.000.000
284     6.000.000
306    12.000.000
1055    6.000.000
1074    6.000.000
409      10.800.000
1075      9.000.000
1049      2.000.000
1073       1.200.000
1080     16.000.000
Reply:
    1035      9.200.000
Reply:
    1026       2.000.000
421    7.600.000
420     6.000.000
417     9.200.000
408    6.000.000
404    8.000.000
403      10.400.000
377    1.600.000
434     2.800.000
1025    16.000.000
Reply:
    1050          14.800.000
1042     12.000.000
Reply:
    1059          3.200.000
Reply:
    1058          10.800.000
1053          14.800.000
1062          14.800.000
1052       6.000.000
1060      2.800.000
1071     6.000.000
1076    4.800.000
Reply:
    1446        16.000.000</t>
      </text>
    </comment>
    <comment ref="R45" authorId="16" shapeId="0" xr:uid="{B6529F16-61BA-4A3F-B1C9-D7946D0DDCB4}">
      <text>
        <t>[Threaded comment]
Your version of Excel allows you to read this threaded comment; however, any edits to it will get removed if the file is opened in a newer version of Excel. Learn more: https://go.microsoft.com/fwlink/?linkid=870924
Comment:
    PP        VLR
100   10.000.000</t>
      </text>
    </comment>
    <comment ref="R46" authorId="17" shapeId="0" xr:uid="{4D609DEF-2C09-4371-9F4E-95A7DB8C40EC}">
      <text>
        <t>[Threaded comment]
Your version of Excel allows you to read this threaded comment; however, any edits to it will get removed if the file is opened in a newer version of Excel. Learn more: https://go.microsoft.com/fwlink/?linkid=870924
Comment:
    PP      VALOR 
299      3.600.000
313     8.800.000
259     6.800.000
199    6.800.000
737    14.800.000
293    6.800.000
259     6.800.000
Reply:
    1028      7.400.000</t>
      </text>
    </comment>
    <comment ref="R48" authorId="18" shapeId="0" xr:uid="{3D634B8F-A779-4EE4-869D-8B6EC248FD7B}">
      <text>
        <t>[Threaded comment]
Your version of Excel allows you to read this threaded comment; however, any edits to it will get removed if the file is opened in a newer version of Excel. Learn more: https://go.microsoft.com/fwlink/?linkid=870924
Comment:
    PP      VALOR 
301     6.000.000
304     4.000.000
219     4.000.000
216    6.000.000
195    4.000.000
236    6.800.000
235    6.000.000
1048   6.800.000
1056   2.600.000
370     7.400.000
1441   16.000.000
Reply:
    1029     16.000.000
422     8.000.000
432    12.000.000
435    14.800.000
1061  14.800.000
1047     6.800.000
Reply:
    1028        8.600.000</t>
      </text>
    </comment>
    <comment ref="R49" authorId="19" shapeId="0" xr:uid="{E1375839-FEE2-4CAD-9972-65DA2BAB2C92}">
      <text>
        <t>[Threaded comment]
Your version of Excel allows you to read this threaded comment; however, any edits to it will get removed if the file is opened in a newer version of Excel. Learn more: https://go.microsoft.com/fwlink/?linkid=870924
Comment:
    PP         VLR
100   10.000.000</t>
      </text>
    </comment>
    <comment ref="R53" authorId="20" shapeId="0" xr:uid="{DA83A697-830B-4331-B80A-6496D9FAD19D}">
      <text>
        <t>[Threaded comment]
Your version of Excel allows you to read this threaded comment; however, any edits to it will get removed if the file is opened in a newer version of Excel. Learn more: https://go.microsoft.com/fwlink/?linkid=870924
Comment:
    PP      VALOR 
301     6.000.000
304      5.200.000
299      6.000.000
297      5.200.000
1048     4.000.000
1063    14.800.000
1074     2.000.000
1439     12.800.000
1437      12.800.000
Reply:
    250   14.800.000
313    8.000.000
230    14.800.000
220     16.000.000
219     4.000.000
216    6.000.000
211    12.000.000
233    14.800.000
199    8.000.000
195   4.000.000
236    4.000.000
235    6.000.000
Reply:
    362    13.200.000
1038  13.200.000
1037  14.800.000
243     14.000.000
Reply:
    375       14.800.000
311     12.800.000
316      13.200.000
Reply:
    425      10.000.000
259      8.000.000
Reply:
    1036        14.800.000
428      14.800.000
422      4.800.000
423     13.200.000
1072   14.800.000
388     12.000.000
1044   16.000.000
Reply:
    1054         13.200.000
1067       9.000.000
1045      12.000.000
1047      4.000.000
Reply:
    1077      14.800.000</t>
      </text>
    </comment>
    <comment ref="R54" authorId="21" shapeId="0" xr:uid="{F62FB124-F5C3-46D5-9D95-426FFE24E5B2}">
      <text>
        <t>[Threaded comment]
Your version of Excel allows you to read this threaded comment; however, any edits to it will get removed if the file is opened in a newer version of Excel. Learn more: https://go.microsoft.com/fwlink/?linkid=870924
Comment:
    PP        VLR
100   10.000.000</t>
      </text>
    </comment>
    <comment ref="R62" authorId="22" shapeId="0" xr:uid="{329C4F54-E589-4BBF-B62E-73E3F8EFE9BC}">
      <text>
        <t>[Threaded comment]
Your version of Excel allows you to read this threaded comment; however, any edits to it will get removed if the file is opened in a newer version of Excel. Learn more: https://go.microsoft.com/fwlink/?linkid=870924
Comment:
    PP    VALOR
190   78.000.000</t>
      </text>
    </comment>
    <comment ref="R64" authorId="23" shapeId="0" xr:uid="{9C678A5E-6322-4BE8-8364-D729B6563CE7}">
      <text>
        <t>[Threaded comment]
Your version of Excel allows you to read this threaded comment; however, any edits to it will get removed if the file is opened in a newer version of Excel. Learn more: https://go.microsoft.com/fwlink/?linkid=870924
Comment:
    PP     VALOR 
94      309.713.649
1302  14.353.862</t>
      </text>
    </comment>
    <comment ref="R65" authorId="24" shapeId="0" xr:uid="{0408FCC3-A315-4635-A166-E60144E8F5E8}">
      <text>
        <t>[Threaded comment]
Your version of Excel allows you to read this threaded comment; however, any edits to it will get removed if the file is opened in a newer version of Excel. Learn more: https://go.microsoft.com/fwlink/?linkid=870924
Comment:
    PP     VALOR 
85   1.400.000.000</t>
      </text>
    </comment>
    <comment ref="R67" authorId="25" shapeId="0" xr:uid="{ABB6C6C5-72B8-46D3-A0CA-6BCA3185470E}">
      <text>
        <t>[Threaded comment]
Your version of Excel allows you to read this threaded comment; however, any edits to it will get removed if the file is opened in a newer version of Excel. Learn more: https://go.microsoft.com/fwlink/?linkid=870924
Comment:
    PP           VALOR
1026        4.800.000
403      400.000
377     4.800.000
434     4.400.000
1049   4.400.000
1440     14.800.000
Reply:
    1059        4.400.000
1060     4.400.000
1079     14.800.000</t>
      </text>
    </comment>
    <comment ref="R69" authorId="26" shapeId="0" xr:uid="{8DE63992-3600-4A7C-8E5F-CBFA4C9274FD}">
      <text>
        <t>[Threaded comment]
Your version of Excel allows you to read this threaded comment; however, any edits to it will get removed if the file is opened in a newer version of Excel. Learn more: https://go.microsoft.com/fwlink/?linkid=870924
Comment:
    PP         VALOR
1026    2.800.000
377      3.200.000
434      2.000.000
1066     4.800.000 
1049     2.800.000
Reply:
    1059       1.600.000
1060     2.000.000
1065    4.800.000</t>
      </text>
    </comment>
    <comment ref="R73" authorId="27" shapeId="0" xr:uid="{6B95541E-E4FA-4F94-A7D7-EDACE7E06575}">
      <text>
        <t>[Threaded comment]
Your version of Excel allows you to read this threaded comment; however, any edits to it will get removed if the file is opened in a newer version of Excel. Learn more: https://go.microsoft.com/fwlink/?linkid=870924
Comment:
    PP     VALOR 
1051   4.400.000
1073   4.400.000</t>
      </text>
    </comment>
    <comment ref="R75" authorId="28" shapeId="0" xr:uid="{9D92613A-690A-49AE-AA97-394D36C23B92}">
      <text>
        <t>[Threaded comment]
Your version of Excel allows you to read this threaded comment; however, any edits to it will get removed if the file is opened in a newer version of Excel. Learn more: https://go.microsoft.com/fwlink/?linkid=870924
Comment:
    PP     VALOR 
1051    4.800.000
1073    5.200.000</t>
      </text>
    </comment>
    <comment ref="R77" authorId="29" shapeId="0" xr:uid="{7484E856-A26F-4B26-A5F4-8B5ABBC72815}">
      <text>
        <t>[Threaded comment]
Your version of Excel allows you to read this threaded comment; however, any edits to it will get removed if the file is opened in a newer version of Excel. Learn more: https://go.microsoft.com/fwlink/?linkid=870924
Comment:
    PP    VALOR 
87     14.999.537
187    84.997.374
68    14.999.537</t>
      </text>
    </comment>
    <comment ref="S77" authorId="30" shapeId="0" xr:uid="{77E52782-7D95-4CBF-AD0A-01B9D7877F17}">
      <text>
        <t>[Threaded comment]
Your version of Excel allows you to read this threaded comment; however, any edits to it will get removed if the file is opened in a newer version of Excel. Learn more: https://go.microsoft.com/fwlink/?linkid=870924
Comment:
    PP    CBPP    VALOR
187   119    84.997.374</t>
      </text>
    </comment>
    <comment ref="R78" authorId="31" shapeId="0" xr:uid="{9E5F34CA-850E-417A-B185-0E637C017A72}">
      <text>
        <t>[Threaded comment]
Your version of Excel allows you to read this threaded comment; however, any edits to it will get removed if the file is opened in a newer version of Excel. Learn more: https://go.microsoft.com/fwlink/?linkid=870924
Comment:
    PP    VALOR
190   100.000.000</t>
      </text>
    </comment>
    <comment ref="R87" authorId="32" shapeId="0" xr:uid="{6EF9ACA8-60FF-4797-8A01-0CF4D0A1ED28}">
      <text>
        <t>[Threaded comment]
Your version of Excel allows you to read this threaded comment; however, any edits to it will get removed if the file is opened in a newer version of Excel. Learn more: https://go.microsoft.com/fwlink/?linkid=870924
Comment:
    PP       VALOR 
301     4.000.000
304     4.000.000
299       6.000.000
219     4.000.000
216     4.000.000
195     4.000.000
236     4.000.000
235     4.000.000
1048    4.000.000
Reply:
    1040        14.800.000
293      8.000.000
424     16.000.000
422    4.400.000
1068  16.000.000
1047    4.000.000</t>
      </text>
    </comment>
    <comment ref="R92" authorId="33" shapeId="0" xr:uid="{25347B10-605E-4659-87B2-7A170FF40DF6}">
      <text>
        <t>[Threaded comment]
Your version of Excel allows you to read this threaded comment; however, any edits to it will get removed if the file is opened in a newer version of Excel. Learn more: https://go.microsoft.com/fwlink/?linkid=870924
Comment:
    PP    VALOR 
117    375.000.000
114    375.000.000
115     375.000.000
116    375.000.000</t>
      </text>
    </comment>
    <comment ref="R93" authorId="34" shapeId="0" xr:uid="{2087B94B-C685-423A-977E-01C549DC8709}">
      <text>
        <t>[Threaded comment]
Your version of Excel allows you to read this threaded comment; however, any edits to it will get removed if the file is opened in a newer version of Excel. Learn more: https://go.microsoft.com/fwlink/?linkid=870924
Comment:
    PP      VALOR 
119    704.000.0000
118     650.000.000
113      650.000.000
109    996.000.000</t>
      </text>
    </comment>
    <comment ref="R94" authorId="35" shapeId="0" xr:uid="{EE197A46-6F16-4CAA-B848-9FB27F7E52CD}">
      <text>
        <t>[Threaded comment]
Your version of Excel allows you to read this threaded comment; however, any edits to it will get removed if the file is opened in a newer version of Excel. Learn more: https://go.microsoft.com/fwlink/?linkid=870924
Comment:
    PP     VALOR 
110    1.185.000.000
119     536.000.000
111    1.410.000.000
118     385.000.000
117    1.225.000.000
114   1.220.000.000
112     1.530.000.000
113     760.000.000
119    536.000.000
115    725.000.000
116    880.000.000</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tc={74349A6F-02E5-4634-99DB-52596DAB57D0}</author>
    <author>tc={C4377A34-4C98-424F-9752-CA1E34B65692}</author>
    <author>tc={73CF7F2B-02AC-455A-8125-12D9D26E7597}</author>
    <author>tc={90DE6C34-6881-4388-A171-9CD89C423931}</author>
    <author>tc={0F982FFD-665E-46ED-8F30-FF6B9408828E}</author>
    <author>tc={20F938D7-9ACC-417F-A07B-A6BE45A1C7EA}</author>
  </authors>
  <commentList>
    <comment ref="R15" authorId="0" shapeId="0" xr:uid="{74349A6F-02E5-4634-99DB-52596DAB57D0}">
      <text>
        <t>[Threaded comment]
Your version of Excel allows you to read this threaded comment; however, any edits to it will get removed if the file is opened in a newer version of Excel. Learn more: https://go.microsoft.com/fwlink/?linkid=870924
Comment:
    PP               VALOR 
 75           814.800.000
765        17.200.000
357        16.000.000
332        14.800.000
315        17.200.000
308        12.000.000
310        10.800.000
758        14.800.000
312        22.000.000
328        14.000.000
323        12.000.000
330        12.000.000
339         14.800.000
333         12.000.000
773         14.800.000
789         16.000.000
341         14.800.000
770         14.800.000
781         14.800.000
Reply:
    763     16.000.000
Reply:
    314          14.800.000
100          60.000.000
758          14.800.000
782           7.000.000
763         16.000.000
338      14.800.000
363       14.800.000
349       14.800.000
356      14.800.000
Reply:
    730        16.000.000
Reply:
    334    12.000.000
745    16.000.000
Reply:
    777       9.600.000
336      14.800.000
343      16.000.000
345      14.800.000
346      14.800.000
329      14.800.000
324      14.800.000
322      14.800.000
347      14.800.000</t>
      </text>
    </comment>
    <comment ref="R16" authorId="1" shapeId="0" xr:uid="{C4377A34-4C98-424F-9752-CA1E34B65692}">
      <text>
        <t>[Threaded comment]
Your version of Excel allows you to read this threaded comment; however, any edits to it will get removed if the file is opened in a newer version of Excel. Learn more: https://go.microsoft.com/fwlink/?linkid=870924
Comment:
    PP    VALOR 
264   8.600.000
737  14.800.000
268    8.600.000
288     8.600.000
726   16.000.000
630   14.800.000
721    14.800.000
Reply:
    735    14.800.000
Reply:
    752     9.000.000</t>
      </text>
    </comment>
    <comment ref="R27" authorId="2" shapeId="0" xr:uid="{73CF7F2B-02AC-455A-8125-12D9D26E7597}">
      <text>
        <t>[Threaded comment]
Your version of Excel allows you to read this threaded comment; however, any edits to it will get removed if the file is opened in a newer version of Excel. Learn more: https://go.microsoft.com/fwlink/?linkid=870924
Comment:
    PP    VALOR 
282   1.200.000
290   10.600.000
296   22.000.000
298   16.000.000
300   16.000.000
272   16.000.000
291    14.800.000
303    14.800.000
622    14.800.000
1490   12.000.000
Reply:
    294   14.800.000
302   14.800.000
Reply:
    292   10.800.000
1282    16.000.000
471     14.800.000
1284   14.000.000
479     16.000.000</t>
      </text>
    </comment>
    <comment ref="S27" authorId="3" shapeId="0" xr:uid="{90DE6C34-6881-4388-A171-9CD89C423931}">
      <text>
        <t>[Threaded comment]
Your version of Excel allows you to read this threaded comment; however, any edits to it will get removed if the file is opened in a newer version of Excel. Learn more: https://go.microsoft.com/fwlink/?linkid=870924
Comment:
    PP      CBPP       VALOR
272     399        16.000.000
Reply:
    296     344      2.000.000</t>
      </text>
    </comment>
    <comment ref="R28" authorId="4" shapeId="0" xr:uid="{0F982FFD-665E-46ED-8F30-FF6B9408828E}">
      <text>
        <t>[Threaded comment]
Your version of Excel allows you to read this threaded comment; however, any edits to it will get removed if the file is opened in a newer version of Excel. Learn more: https://go.microsoft.com/fwlink/?linkid=870924
Comment:
    PP    VALOR 
553    14.800.000
326     17.200.000
482     14.800.000
486    14.800.000
540     12.000.000
267      10.800.000
564     14.800.000
354     17.200.000
240    16.000.000
518     16.000.000
622     10.800.000
528     16.000.000
497     14.800.000
591     16.000.000
615      10.800.000
476   14.800.000
264    8.600.000
268     8.600.000
288     8.600.000
379    17.200.000
767     12.000.000
271    12.000.000
274    14.800.000
290    1.900.000
510    10.800.000
276     14.800.000
Reply:
    275    14.800.000
282     10.800.000
286     12.000.000
270     18.000.000
Reply:
    273    14.800.000
281     12.000.000</t>
      </text>
    </comment>
    <comment ref="S28" authorId="5" shapeId="0" xr:uid="{20F938D7-9ACC-417F-A07B-A6BE45A1C7EA}">
      <text>
        <t>[Threaded comment]
Your version of Excel allows you to read this threaded comment; however, any edits to it will get removed if the file is opened in a newer version of Excel. Learn more: https://go.microsoft.com/fwlink/?linkid=870924
Comment:
    PP    CBPP     VALOR 
553   187     14.800.000</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tc={C79A2A30-9C75-424A-AA26-4D7BA39F8A4A}</author>
    <author>tc={A973A0BF-2225-496B-9FF6-1FA649E7CD01}</author>
    <author>tc={587C65E6-7806-4174-9A53-12C26C37808F}</author>
    <author>tc={2F1F3619-95EC-4570-A177-8FAA1087DE01}</author>
    <author>tc={F44A5173-08D8-4B25-8E51-5572BCF4132E}</author>
    <author>tc={4E52E9DA-A725-4CFC-9172-5A4347FA31BB}</author>
    <author>tc={7531A3CA-FB4D-4CD5-8BE6-A177BCEF2A0E}</author>
    <author>tc={75D89AF1-1245-4002-A8A2-77B6EBB9A58F}</author>
    <author>tc={0095E504-60AB-4BA0-B6E3-369EFB487704}</author>
    <author>tc={DA7FD135-3EBA-41A7-A573-E55B78692CCF}</author>
    <author>tc={FB08F5F9-4E4D-4274-A486-82D0BB410035}</author>
    <author>tc={C6F61242-F7B8-404C-AD08-F4A032E63B4C}</author>
    <author>tc={9107555A-9EC0-41E9-87B2-C5310FDFD760}</author>
    <author>tc={ED40D255-AD7A-431B-A4EA-4DC542EC768D}</author>
    <author>tc={40485D0B-F0FB-443E-8F19-80E65FC72A66}</author>
    <author>tc={13B2312A-15F5-47C8-A149-4987177C1577}</author>
    <author>tc={640FA60A-1C24-4DD6-9DCB-5DE39704B28B}</author>
    <author>tc={119BDE3C-A82E-46ED-A9C0-306D3EB1E54F}</author>
    <author>tc={B4BAF9C4-24D8-4543-A134-C5A06A20216E}</author>
    <author>AUXPLANEACION18</author>
    <author>tc={CCEC2D23-3F4C-41A8-A5C6-26D1CDD987C4}</author>
    <author>tc={717031E4-979B-48D5-A19F-8E52B0922A67}</author>
    <author>tc={B29AF003-A85D-40D5-8993-61B83CC16DD9}</author>
    <author>tc={7D1ACB9E-B001-435E-BE83-F1444DD804BD}</author>
    <author>tc={B495FE51-35BC-4F0C-A9D4-16FD1947B746}</author>
    <author>tc={783F0D60-FA89-44F3-9629-BF68ECFAFD5D}</author>
    <author>tc={FFB2E7A5-543A-4993-93D0-BA11DC85ED89}</author>
    <author>tc={C96D5AFD-CE5F-479B-AC33-44A06C6CD9FB}</author>
  </authors>
  <commentList>
    <comment ref="R10" authorId="0" shapeId="0" xr:uid="{C79A2A30-9C75-424A-AA26-4D7BA39F8A4A}">
      <text>
        <t>[Threaded comment]
Your version of Excel allows you to read this threaded comment; however, any edits to it will get removed if the file is opened in a newer version of Excel. Learn more: https://go.microsoft.com/fwlink/?linkid=870924
Comment:
    PP                        VALOR
999                10.000.000</t>
      </text>
    </comment>
    <comment ref="R11" authorId="1" shapeId="0" xr:uid="{A973A0BF-2225-496B-9FF6-1FA649E7CD01}">
      <text>
        <t>[Threaded comment]
Your version of Excel allows you to read this threaded comment; however, any edits to it will get removed if the file is opened in a newer version of Excel. Learn more: https://go.microsoft.com/fwlink/?linkid=870924
Comment:
    PP            VALOR
999           4.800.000</t>
      </text>
    </comment>
    <comment ref="T11" authorId="2" shapeId="0" xr:uid="{587C65E6-7806-4174-9A53-12C26C37808F}">
      <text>
        <t>[Threaded comment]
Your version of Excel allows you to read this threaded comment; however, any edits to it will get removed if the file is opened in a newer version of Excel. Learn more: https://go.microsoft.com/fwlink/?linkid=870924
Comment:
    AJUSTE PENDIENTE POR REALIZAR 6-01-2026</t>
      </text>
    </comment>
    <comment ref="R12" authorId="3" shapeId="0" xr:uid="{2F1F3619-95EC-4570-A177-8FAA1087DE01}">
      <text>
        <t>[Threaded comment]
Your version of Excel allows you to read this threaded comment; however, any edits to it will get removed if the file is opened in a newer version of Excel. Learn more: https://go.microsoft.com/fwlink/?linkid=870924
Comment:
    PP        VLR
542   7.500.000
Reply:
    748     7.500.000
749     7.500.000
751     7.500.000</t>
      </text>
    </comment>
    <comment ref="R13" authorId="4" shapeId="0" xr:uid="{F44A5173-08D8-4B25-8E51-5572BCF4132E}">
      <text>
        <t>[Threaded comment]
Your version of Excel allows you to read this threaded comment; however, any edits to it will get removed if the file is opened in a newer version of Excel. Learn more: https://go.microsoft.com/fwlink/?linkid=870924
Comment:
    PP       VLR
550   6.000.000
551   6.000.000
554   6.000.000
782   5.000.000
Reply:
    748   7.500.000
749   7.500.000
751   7.500.000</t>
      </text>
    </comment>
    <comment ref="R14" authorId="5" shapeId="0" xr:uid="{4E52E9DA-A725-4CFC-9172-5A4347FA31BB}">
      <text>
        <t>[Threaded comment]
Your version of Excel allows you to read this threaded comment; however, any edits to it will get removed if the file is opened in a newer version of Excel. Learn more: https://go.microsoft.com/fwlink/?linkid=870924
Comment:
    PP         VLR
542    4.250.000
550  10.000.000
551  10.000.000
554  10.000.000
552    5.500.000</t>
      </text>
    </comment>
    <comment ref="R15" authorId="6" shapeId="0" xr:uid="{7531A3CA-FB4D-4CD5-8BE6-A177BCEF2A0E}">
      <text>
        <t>[Threaded comment]
Your version of Excel allows you to read this threaded comment; however, any edits to it will get removed if the file is opened in a newer version of Excel. Learn more: https://go.microsoft.com/fwlink/?linkid=870924
Comment:
    PP           VLR
748     1.000.000
749     1.000.000
751     1.000.000</t>
      </text>
    </comment>
    <comment ref="R16" authorId="7" shapeId="0" xr:uid="{75D89AF1-1245-4002-A8A2-77B6EBB9A58F}">
      <text>
        <t>[Threaded comment]
Your version of Excel allows you to read this threaded comment; however, any edits to it will get removed if the file is opened in a newer version of Excel. Learn more: https://go.microsoft.com/fwlink/?linkid=870924
Comment:
    PP         VLR
542     4.250.000
552   10.500.000
779   10.800.000
782   9.800.000</t>
      </text>
    </comment>
    <comment ref="R17" authorId="8" shapeId="0" xr:uid="{0095E504-60AB-4BA0-B6E3-369EFB487704}">
      <text>
        <t>[Threaded comment]
Your version of Excel allows you to read this threaded comment; however, any edits to it will get removed if the file is opened in a newer version of Excel. Learn more: https://go.microsoft.com/fwlink/?linkid=870924
Comment:
    PP                     VALOR
679                     16.000.000</t>
      </text>
    </comment>
    <comment ref="R24" authorId="9" shapeId="0" xr:uid="{DA7FD135-3EBA-41A7-A573-E55B78692CCF}">
      <text>
        <t>[Threaded comment]
Your version of Excel allows you to read this threaded comment; however, any edits to it will get removed if the file is opened in a newer version of Excel. Learn more: https://go.microsoft.com/fwlink/?linkid=870924
Comment:
    PP         VLR
100    20.000.000</t>
      </text>
    </comment>
    <comment ref="R27" authorId="10" shapeId="0" xr:uid="{FB08F5F9-4E4D-4274-A486-82D0BB410035}">
      <text>
        <t>[Threaded comment]
Your version of Excel allows you to read this threaded comment; however, any edits to it will get removed if the file is opened in a newer version of Excel. Learn more: https://go.microsoft.com/fwlink/?linkid=870924
Comment:
    PP    VALOR 
121    76.500.000
677    3.700.000
678    3.700.000</t>
      </text>
    </comment>
    <comment ref="R28" authorId="11" shapeId="0" xr:uid="{C6F61242-F7B8-404C-AD08-F4A032E63B4C}">
      <text>
        <t>[Threaded comment]
Your version of Excel allows you to read this threaded comment; however, any edits to it will get removed if the file is opened in a newer version of Excel. Learn more: https://go.microsoft.com/fwlink/?linkid=870924
Comment:
    PP   VALOR
122   50.000.000</t>
      </text>
    </comment>
    <comment ref="R29" authorId="12" shapeId="0" xr:uid="{9107555A-9EC0-41E9-87B2-C5310FDFD760}">
      <text>
        <t>[Threaded comment]
Your version of Excel allows you to read this threaded comment; however, any edits to it will get removed if the file is opened in a newer version of Excel. Learn more: https://go.microsoft.com/fwlink/?linkid=870924
Comment:
    PP      VALOR
677     11.100.000
678      11.100.000
682         12.000.000
684     14.800.000</t>
      </text>
    </comment>
    <comment ref="R30" authorId="13" shapeId="0" xr:uid="{ED40D255-AD7A-431B-A4EA-4DC542EC768D}">
      <text>
        <t>[Threaded comment]
Your version of Excel allows you to read this threaded comment; however, any edits to it will get removed if the file is opened in a newer version of Excel. Learn more: https://go.microsoft.com/fwlink/?linkid=870924
Comment:
    PP        VLR
100   40.000.000</t>
      </text>
    </comment>
    <comment ref="R32" authorId="14" shapeId="0" xr:uid="{40485D0B-F0FB-443E-8F19-80E65FC72A66}">
      <text>
        <t>[Threaded comment]
Your version of Excel allows you to read this threaded comment; however, any edits to it will get removed if the file is opened in a newer version of Excel. Learn more: https://go.microsoft.com/fwlink/?linkid=870924
Comment:
    PP              VALOR
695            3.000.000</t>
      </text>
    </comment>
    <comment ref="R33" authorId="15" shapeId="0" xr:uid="{13B2312A-15F5-47C8-A149-4987177C1577}">
      <text>
        <t>[Threaded comment]
Your version of Excel allows you to read this threaded comment; however, any edits to it will get removed if the file is opened in a newer version of Excel. Learn more: https://go.microsoft.com/fwlink/?linkid=870924
Comment:
    PP             VALOR
695         6.000.000</t>
      </text>
    </comment>
    <comment ref="R34" authorId="16" shapeId="0" xr:uid="{640FA60A-1C24-4DD6-9DCB-5DE39704B28B}">
      <text>
        <t>[Threaded comment]
Your version of Excel allows you to read this threaded comment; however, any edits to it will get removed if the file is opened in a newer version of Excel. Learn more: https://go.microsoft.com/fwlink/?linkid=870924
Comment:
    PP           VALOR
695        3.000.000</t>
      </text>
    </comment>
    <comment ref="R38" authorId="17" shapeId="0" xr:uid="{119BDE3C-A82E-46ED-A9C0-306D3EB1E54F}">
      <text>
        <t>[Threaded comment]
Your version of Excel allows you to read this threaded comment; however, any edits to it will get removed if the file is opened in a newer version of Excel. Learn more: https://go.microsoft.com/fwlink/?linkid=870924
Comment:
    PP         VALOR
695        1.200.000</t>
      </text>
    </comment>
    <comment ref="R39" authorId="18" shapeId="0" xr:uid="{B4BAF9C4-24D8-4543-A134-C5A06A20216E}">
      <text>
        <t>[Threaded comment]
Your version of Excel allows you to read this threaded comment; however, any edits to it will get removed if the file is opened in a newer version of Excel. Learn more: https://go.microsoft.com/fwlink/?linkid=870924
Comment:
    PP           VALOR
695          2.800.000</t>
      </text>
    </comment>
    <comment ref="P40" authorId="19" shapeId="0" xr:uid="{00000000-0006-0000-0300-000001000000}">
      <text>
        <r>
          <rPr>
            <b/>
            <sz val="9"/>
            <color indexed="81"/>
            <rFont val="Tahoma"/>
            <family val="2"/>
          </rPr>
          <t>AUXPLANEACION18:</t>
        </r>
        <r>
          <rPr>
            <sz val="9"/>
            <color indexed="81"/>
            <rFont val="Tahoma"/>
            <family val="2"/>
          </rPr>
          <t xml:space="preserve">
se cambio la actividad
se realiza cambio de actividad por orden de la doc marta elena</t>
        </r>
      </text>
    </comment>
    <comment ref="R41" authorId="20" shapeId="0" xr:uid="{CCEC2D23-3F4C-41A8-A5C6-26D1CDD987C4}">
      <text>
        <t>[Threaded comment]
Your version of Excel allows you to read this threaded comment; however, any edits to it will get removed if the file is opened in a newer version of Excel. Learn more: https://go.microsoft.com/fwlink/?linkid=870924
Comment:
    PP     VALOR 
675    1.000.000</t>
      </text>
    </comment>
    <comment ref="R42" authorId="21" shapeId="0" xr:uid="{717031E4-979B-48D5-A19F-8E52B0922A67}">
      <text>
        <t>[Threaded comment]
Your version of Excel allows you to read this threaded comment; however, any edits to it will get removed if the file is opened in a newer version of Excel. Learn more: https://go.microsoft.com/fwlink/?linkid=870924
Comment:
    PP    VALOR 
673    9.900.000
675     10.500.000
674    9.900.000</t>
      </text>
    </comment>
    <comment ref="R43" authorId="22" shapeId="0" xr:uid="{B29AF003-A85D-40D5-8993-61B83CC16DD9}">
      <text>
        <t>[Threaded comment]
Your version of Excel allows you to read this threaded comment; however, any edits to it will get removed if the file is opened in a newer version of Excel. Learn more: https://go.microsoft.com/fwlink/?linkid=870924
Comment:
    PP        VALOR 
675     1.500.000</t>
      </text>
    </comment>
    <comment ref="R44" authorId="23" shapeId="0" xr:uid="{7D1ACB9E-B001-435E-BE83-F1444DD804BD}">
      <text>
        <t>[Threaded comment]
Your version of Excel allows you to read this threaded comment; however, any edits to it will get removed if the file is opened in a newer version of Excel. Learn more: https://go.microsoft.com/fwlink/?linkid=870924
Comment:
    PP    VALOR 
673    2.100.000
674   2.100.000</t>
      </text>
    </comment>
    <comment ref="R45" authorId="24" shapeId="0" xr:uid="{B495FE51-35BC-4F0C-A9D4-16FD1947B746}">
      <text>
        <t>[Threaded comment]
Your version of Excel allows you to read this threaded comment; however, any edits to it will get removed if the file is opened in a newer version of Excel. Learn more: https://go.microsoft.com/fwlink/?linkid=870924
Comment:
    PP       VALOR 
675      3.000.000</t>
      </text>
    </comment>
    <comment ref="R47" authorId="25" shapeId="0" xr:uid="{783F0D60-FA89-44F3-9629-BF68ECFAFD5D}">
      <text>
        <t>[Threaded comment]
Your version of Excel allows you to read this threaded comment; however, any edits to it will get removed if the file is opened in a newer version of Excel. Learn more: https://go.microsoft.com/fwlink/?linkid=870924
Comment:
    694      14.800.000
Reply:
    696     14.800.000</t>
      </text>
    </comment>
    <comment ref="R51" authorId="26" shapeId="0" xr:uid="{FFB2E7A5-543A-4993-93D0-BA11DC85ED89}">
      <text>
        <t>[Threaded comment]
Your version of Excel allows you to read this threaded comment; however, any edits to it will get removed if the file is opened in a newer version of Excel. Learn more: https://go.microsoft.com/fwlink/?linkid=870924
Comment:
    PP     VALOR 
676    16.000.000</t>
      </text>
    </comment>
    <comment ref="R52" authorId="27" shapeId="0" xr:uid="{C96D5AFD-CE5F-479B-AC33-44A06C6CD9FB}">
      <text>
        <t>[Threaded comment]
Your version of Excel allows you to read this threaded comment; however, any edits to it will get removed if the file is opened in a newer version of Excel. Learn more: https://go.microsoft.com/fwlink/?linkid=870924
Comment:
    693     16.000.000</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tc={F613BCAA-DA51-45F4-9A49-FCFF61F0CC52}</author>
    <author>tc={0A1B897C-B959-4BAD-A92C-E7BF73C8E391}</author>
    <author>tc={861CACA8-C4E2-4794-B528-530BE1AF3B3F}</author>
    <author>tc={AB03439D-24F5-4879-8CF5-552D4B6552A8}</author>
    <author>tc={46A1968D-658A-473E-BDC5-EBB3B33E277F}</author>
    <author>tc={AC7CD1FC-0F7C-4435-92B2-64C12BD955E6}</author>
    <author>tc={2FB05B31-7994-4B54-8835-014222BBD621}</author>
    <author>tc={225FA32F-EE8D-4CC3-B1E9-0925AB5757B3}</author>
    <author>tc={20B945EA-B84B-4059-AE4F-793D818B244E}</author>
    <author>tc={913D496F-1DB4-413B-81EE-503CBAE96B93}</author>
    <author>tc={01228E4A-A198-4E1C-8170-EF6BED2184A8}</author>
    <author>tc={392A9900-C4D5-46DD-A8FB-30EF9567BD8A}</author>
    <author>tc={468A54C7-F6A1-4E57-8EF8-09E696C5B213}</author>
    <author>tc={AF3D0498-0679-436F-A7E1-804E9154D1DB}</author>
    <author>tc={B3278B28-4957-4D55-B838-9DA409A34DF6}</author>
    <author>tc={EFAC361F-EC23-4CC7-8333-4626A0856A80}</author>
    <author>tc={700440A0-0D80-4EE4-A42E-0813F5438E44}</author>
    <author>tc={2FFAB029-626D-45C7-B695-7C09AB9C49A1}</author>
    <author>tc={0B233D1B-11D7-45C1-8894-8702885404CD}</author>
    <author>tc={9937E661-D588-4AD1-B437-DCDAADF598DA}</author>
    <author>tc={A97534A7-4F8F-4422-8ECF-2F705C95177E}</author>
    <author>tc={F3814118-CCE7-4AB3-95B9-A9080B780FEA}</author>
    <author>tc={692F31C3-77F7-47B3-B60F-4B32F4D4FF5A}</author>
    <author>tc={3C371899-AA1F-460E-B9DA-0BFEB34CA67B}</author>
    <author>maria luisa</author>
    <author>tc={6399BDF7-EB3D-43F8-A162-C786D059A542}</author>
    <author>tc={6863D616-8E80-4E29-94DB-F23245C31FAA}</author>
    <author>tc={DC2CF1A8-A2FB-4F27-BE1C-C0C1A871A045}</author>
    <author>tc={71A20F2F-C2B7-4B17-A2B6-A44BABFDAD28}</author>
    <author>tc={A8FEFE64-BD90-45A9-BADB-2CD14A72D52B}</author>
    <author>tc={3F467CA4-055C-45CF-A7DA-7E8269C50391}</author>
    <author>tc={ED38A47F-67AA-4D9F-A79A-CF7065F4FB14}</author>
    <author>tc={C508A984-8442-46D2-88DB-384179186197}</author>
    <author>tc={E2BA6975-D1C0-4828-84D0-D3B3D27C7036}</author>
    <author>tc={52874285-129B-4804-97A9-904033040F55}</author>
    <author>tc={FA396EF5-94DE-4EA6-968A-BCC7D037EB56}</author>
    <author>tc={8FF95786-4F5D-45C6-B8A0-1746ADE002CD}</author>
    <author>tc={8B9D11F7-D2E8-4CBE-A99D-DEFA2354ABDD}</author>
    <author>tc={6F56091A-0AE9-4F62-B06E-31D5B842B0FD}</author>
    <author>tc={87F0988D-D0C2-4EBD-B962-3F8B3DF7671A}</author>
    <author>tc={62F16857-F70A-4AF7-BD08-C8E1A6FE37DE}</author>
    <author>tc={F07A801A-76ED-4F7E-8789-1374309D2AAE}</author>
    <author>tc={7842ABD3-B4F1-4318-AC5D-AED371F17ADC}</author>
    <author>tc={E7191EEA-F0A2-4C29-9068-788F09C53D8E}</author>
    <author>tc={3D1ECE98-863B-4A07-AE9A-E53398E5D9EA}</author>
    <author>tc={CA37FBFF-0399-498F-ADE7-D84F57C61FA9}</author>
    <author>tc={5DD3AD8E-2381-45CB-A704-69454E7CF872}</author>
    <author>tc={F91A1F77-1359-4E40-AC8E-FCEFAABAA55C}</author>
    <author>tc={179CA0D4-1677-47EB-9192-836FFFD2D47D}</author>
  </authors>
  <commentList>
    <comment ref="R12" authorId="0" shapeId="0" xr:uid="{F613BCAA-DA51-45F4-9A49-FCFF61F0CC52}">
      <text>
        <t>[Threaded comment]
Your version of Excel allows you to read this threaded comment; however, any edits to it will get removed if the file is opened in a newer version of Excel. Learn more: https://go.microsoft.com/fwlink/?linkid=870924
Comment:
    PP    VALOR 
860   2.300.000
866      200.000
1087    2.000.000
958     2.000.000
959     3.800.000</t>
      </text>
    </comment>
    <comment ref="S12" authorId="1" shapeId="0" xr:uid="{0A1B897C-B959-4BAD-A92C-E7BF73C8E391}">
      <text>
        <t>[Threaded comment]
Your version of Excel allows you to read this threaded comment; however, any edits to it will get removed if the file is opened in a newer version of Excel. Learn more: https://go.microsoft.com/fwlink/?linkid=870924
Comment:
    PP    CBPP    VALOR 
1087    617     2.000.000</t>
      </text>
    </comment>
    <comment ref="R13" authorId="2" shapeId="0" xr:uid="{861CACA8-C4E2-4794-B528-530BE1AF3B3F}">
      <text>
        <t>[Threaded comment]
Your version of Excel allows you to read this threaded comment; however, any edits to it will get removed if the file is opened in a newer version of Excel. Learn more: https://go.microsoft.com/fwlink/?linkid=870924
Comment:
    PP    VALOR 
856    3.800.000
865    2.000.000
863    3.800.000
Reply:
    858      3.800.000</t>
      </text>
    </comment>
    <comment ref="R14" authorId="3" shapeId="0" xr:uid="{AB03439D-24F5-4879-8CF5-552D4B6552A8}">
      <text>
        <t>[Threaded comment]
Your version of Excel allows you to read this threaded comment; however, any edits to it will get removed if the file is opened in a newer version of Excel. Learn more: https://go.microsoft.com/fwlink/?linkid=870924
Comment:
    865  $4.000.000</t>
      </text>
    </comment>
    <comment ref="R15" authorId="4" shapeId="0" xr:uid="{46A1968D-658A-473E-BDC5-EBB3B33E277F}">
      <text>
        <t>[Threaded comment]
Your version of Excel allows you to read this threaded comment; however, any edits to it will get removed if the file is opened in a newer version of Excel. Learn more: https://go.microsoft.com/fwlink/?linkid=870924
Comment:
    PP       VALOR
866    6.500.000
959    5.000.000</t>
      </text>
    </comment>
    <comment ref="R16" authorId="5" shapeId="0" xr:uid="{AC7CD1FC-0F7C-4435-92B2-64C12BD955E6}">
      <text>
        <t>[Threaded comment]
Your version of Excel allows you to read this threaded comment; however, any edits to it will get removed if the file is opened in a newer version of Excel. Learn more: https://go.microsoft.com/fwlink/?linkid=870924
Comment:
    PP   VALOR
865  $3.000.000
959   5.000.000</t>
      </text>
    </comment>
    <comment ref="R18" authorId="6" shapeId="0" xr:uid="{2FB05B31-7994-4B54-8835-014222BBD621}">
      <text>
        <t>[Threaded comment]
Your version of Excel allows you to read this threaded comment; however, any edits to it will get removed if the file is opened in a newer version of Excel. Learn more: https://go.microsoft.com/fwlink/?linkid=870924
Comment:
    PP    VALOR
865  $3.000.000</t>
      </text>
    </comment>
    <comment ref="R20" authorId="7" shapeId="0" xr:uid="{225FA32F-EE8D-4CC3-B1E9-0925AB5757B3}">
      <text>
        <t>[Threaded comment]
Your version of Excel allows you to read this threaded comment; however, any edits to it will get removed if the file is opened in a newer version of Excel. Learn more: https://go.microsoft.com/fwlink/?linkid=870924
Comment:
    PP     VALOR 
856   2.000.000
863   2.000.000
Reply:
    858      2.000.000</t>
      </text>
    </comment>
    <comment ref="R21" authorId="8" shapeId="0" xr:uid="{20B945EA-B84B-4059-AE4F-793D818B244E}">
      <text>
        <t>[Threaded comment]
Your version of Excel allows you to read this threaded comment; however, any edits to it will get removed if the file is opened in a newer version of Excel. Learn more: https://go.microsoft.com/fwlink/?linkid=870924
Comment:
    PP    VALOR 
856   2.000.000
860   2.500.000
863    500.000
866    500.000
1087   1.000.000
Reply:
    858    500.000</t>
      </text>
    </comment>
    <comment ref="S21" authorId="9" shapeId="0" xr:uid="{913D496F-1DB4-413B-81EE-503CBAE96B93}">
      <text>
        <t>[Threaded comment]
Your version of Excel allows you to read this threaded comment; however, any edits to it will get removed if the file is opened in a newer version of Excel. Learn more: https://go.microsoft.com/fwlink/?linkid=870924
Comment:
    PP   CBPP    VALOR 
1087    618    1.000.000</t>
      </text>
    </comment>
    <comment ref="R23" authorId="10" shapeId="0" xr:uid="{01228E4A-A198-4E1C-8170-EF6BED2184A8}">
      <text>
        <t>[Threaded comment]
Your version of Excel allows you to read this threaded comment; however, any edits to it will get removed if the file is opened in a newer version of Excel. Learn more: https://go.microsoft.com/fwlink/?linkid=870924
Comment:
    PP   VALOR
959  1.000.000</t>
      </text>
    </comment>
    <comment ref="R24" authorId="11" shapeId="0" xr:uid="{392A9900-C4D5-46DD-A8FB-30EF9567BD8A}">
      <text>
        <t>[Threaded comment]
Your version of Excel allows you to read this threaded comment; however, any edits to it will get removed if the file is opened in a newer version of Excel. Learn more: https://go.microsoft.com/fwlink/?linkid=870924
Comment:
    PP   VALOR 
860   1.900.000
866    1.000.000
1087    1.100.000</t>
      </text>
    </comment>
    <comment ref="S24" authorId="12" shapeId="0" xr:uid="{468A54C7-F6A1-4E57-8EF8-09E696C5B213}">
      <text>
        <t>[Threaded comment]
Your version of Excel allows you to read this threaded comment; however, any edits to it will get removed if the file is opened in a newer version of Excel. Learn more: https://go.microsoft.com/fwlink/?linkid=870924
Comment:
    PP    CBPP   VALOR 
1087   618   1.100.000</t>
      </text>
    </comment>
    <comment ref="R25" authorId="13" shapeId="0" xr:uid="{AF3D0498-0679-436F-A7E1-804E9154D1DB}">
      <text>
        <t>[Threaded comment]
Your version of Excel allows you to read this threaded comment; however, any edits to it will get removed if the file is opened in a newer version of Excel. Learn more: https://go.microsoft.com/fwlink/?linkid=870924
Comment:
    PP    VALOR 
958   1.000.000</t>
      </text>
    </comment>
    <comment ref="R27" authorId="14" shapeId="0" xr:uid="{B3278B28-4957-4D55-B838-9DA409A34DF6}">
      <text>
        <t>[Threaded comment]
Your version of Excel allows you to read this threaded comment; however, any edits to it will get removed if the file is opened in a newer version of Excel. Learn more: https://go.microsoft.com/fwlink/?linkid=870924
Comment:
    PP    VALOR 
958    5.000.000</t>
      </text>
    </comment>
    <comment ref="R28" authorId="15" shapeId="0" xr:uid="{EFAC361F-EC23-4CC7-8333-4626A0856A80}">
      <text>
        <t>[Threaded comment]
Your version of Excel allows you to read this threaded comment; however, any edits to it will get removed if the file is opened in a newer version of Excel. Learn more: https://go.microsoft.com/fwlink/?linkid=870924
Comment:
    PP    VALOR 
958    2.000.000</t>
      </text>
    </comment>
    <comment ref="R29" authorId="16" shapeId="0" xr:uid="{700440A0-0D80-4EE4-A42E-0813F5438E44}">
      <text>
        <t>[Threaded comment]
Your version of Excel allows you to read this threaded comment; however, any edits to it will get removed if the file is opened in a newer version of Excel. Learn more: https://go.microsoft.com/fwlink/?linkid=870924
Comment:
    PP    VALOR
866   1.000.000
Reply:
    958      1.500.000</t>
      </text>
    </comment>
    <comment ref="R34" authorId="17" shapeId="0" xr:uid="{2FFAB029-626D-45C7-B695-7C09AB9C49A1}">
      <text>
        <t>[Threaded comment]
Your version of Excel allows you to read this threaded comment; however, any edits to it will get removed if the file is opened in a newer version of Excel. Learn more: https://go.microsoft.com/fwlink/?linkid=870924
Comment:
    PP     VALOR 
860    900.000
1087    1.500.000</t>
      </text>
    </comment>
    <comment ref="S34" authorId="18" shapeId="0" xr:uid="{0B233D1B-11D7-45C1-8894-8702885404CD}">
      <text>
        <t>[Threaded comment]
Your version of Excel allows you to read this threaded comment; however, any edits to it will get removed if the file is opened in a newer version of Excel. Learn more: https://go.microsoft.com/fwlink/?linkid=870924
Comment:
    PP CBBP     VALOR 
1087   618  1500.000</t>
      </text>
    </comment>
    <comment ref="R40" authorId="19" shapeId="0" xr:uid="{9937E661-D588-4AD1-B437-DCDAADF598DA}">
      <text>
        <t>[Threaded comment]
Your version of Excel allows you to read this threaded comment; however, any edits to it will get removed if the file is opened in a newer version of Excel. Learn more: https://go.microsoft.com/fwlink/?linkid=870924
Comment:
    PP     VALOR 
856   5.500.000
1087   1.800.000
Reply:
    858      5.500.000</t>
      </text>
    </comment>
    <comment ref="S40" authorId="20" shapeId="0" xr:uid="{A97534A7-4F8F-4422-8ECF-2F705C95177E}">
      <text>
        <t>[Threaded comment]
Your version of Excel allows you to read this threaded comment; however, any edits to it will get removed if the file is opened in a newer version of Excel. Learn more: https://go.microsoft.com/fwlink/?linkid=870924
Comment:
    PP   CBPP    VALOR 
1087    618   1.800.000</t>
      </text>
    </comment>
    <comment ref="R41" authorId="21" shapeId="0" xr:uid="{F3814118-CCE7-4AB3-95B9-A9080B780FEA}">
      <text>
        <t>[Threaded comment]
Your version of Excel allows you to read this threaded comment; however, any edits to it will get removed if the file is opened in a newer version of Excel. Learn more: https://go.microsoft.com/fwlink/?linkid=870924
Comment:
    PP     VALOR 
860    3.700.000
863    3.500.000</t>
      </text>
    </comment>
    <comment ref="R42" authorId="22" shapeId="0" xr:uid="{692F31C3-77F7-47B3-B60F-4B32F4D4FF5A}">
      <text>
        <t>[Threaded comment]
Your version of Excel allows you to read this threaded comment; however, any edits to it will get removed if the file is opened in a newer version of Excel. Learn more: https://go.microsoft.com/fwlink/?linkid=870924
Comment:
    PP    VALOR 
856    3.000.000
Reply:
    858    3.000.000</t>
      </text>
    </comment>
    <comment ref="R48" authorId="23" shapeId="0" xr:uid="{3C371899-AA1F-460E-B9DA-0BFEB34CA67B}">
      <text>
        <t>[Threaded comment]
Your version of Excel allows you to read this threaded comment; however, any edits to it will get removed if the file is opened in a newer version of Excel. Learn more: https://go.microsoft.com/fwlink/?linkid=870924
Comment:
    PP   VALOR 
889   14.800.000
961   14.800.000
896   16.000.000
963    14.800.000
739    14.800.000
756    9.400.000</t>
      </text>
    </comment>
    <comment ref="Q54" authorId="24" shapeId="0" xr:uid="{00000000-0006-0000-0400-000001000000}">
      <text>
        <r>
          <rPr>
            <b/>
            <sz val="9"/>
            <color indexed="81"/>
            <rFont val="Tahoma"/>
            <family val="2"/>
          </rPr>
          <t>maria luisa:</t>
        </r>
        <r>
          <rPr>
            <sz val="9"/>
            <color indexed="81"/>
            <rFont val="Tahoma"/>
            <family val="2"/>
          </rPr>
          <t xml:space="preserve">
ESTOS VALORES Y RUBROS CON CCPET 009 NO SON COHERENTES CON EL PLAN DE ACCIÓN.</t>
        </r>
      </text>
    </comment>
    <comment ref="R60" authorId="25" shapeId="0" xr:uid="{6399BDF7-EB3D-43F8-A162-C786D059A542}">
      <text>
        <t>[Threaded comment]
Your version of Excel allows you to read this threaded comment; however, any edits to it will get removed if the file is opened in a newer version of Excel. Learn more: https://go.microsoft.com/fwlink/?linkid=870924
Comment:
    PP    VALOR
750    500.000</t>
      </text>
    </comment>
    <comment ref="R68" authorId="26" shapeId="0" xr:uid="{6863D616-8E80-4E29-94DB-F23245C31FAA}">
      <text>
        <t>[Threaded comment]
Your version of Excel allows you to read this threaded comment; however, any edits to it will get removed if the file is opened in a newer version of Excel. Learn more: https://go.microsoft.com/fwlink/?linkid=870924
Comment:
    PP    VALOR 
750    6.150.000
756    1.800.000</t>
      </text>
    </comment>
    <comment ref="R69" authorId="27" shapeId="0" xr:uid="{DC2CF1A8-A2FB-4F27-BE1C-C0C1A871A045}">
      <text>
        <t>[Threaded comment]
Your version of Excel allows you to read this threaded comment; however, any edits to it will get removed if the file is opened in a newer version of Excel. Learn more: https://go.microsoft.com/fwlink/?linkid=870924
Comment:
    PP    VALOR 
750   5.200.000</t>
      </text>
    </comment>
    <comment ref="R70" authorId="28" shapeId="0" xr:uid="{71A20F2F-C2B7-4B17-A2B6-A44BABFDAD28}">
      <text>
        <t>[Threaded comment]
Your version of Excel allows you to read this threaded comment; however, any edits to it will get removed if the file is opened in a newer version of Excel. Learn more: https://go.microsoft.com/fwlink/?linkid=870924
Comment:
    PP    VALOR 
750    4.150.000</t>
      </text>
    </comment>
    <comment ref="R71" authorId="29" shapeId="0" xr:uid="{A8FEFE64-BD90-45A9-BADB-2CD14A72D52B}">
      <text>
        <t>[Threaded comment]
Your version of Excel allows you to read this threaded comment; however, any edits to it will get removed if the file is opened in a newer version of Excel. Learn more: https://go.microsoft.com/fwlink/?linkid=870924
Comment:
    PP     VALOR
1296  6.000.000</t>
      </text>
    </comment>
    <comment ref="R72" authorId="30" shapeId="0" xr:uid="{3F467CA4-055C-45CF-A7DA-7E8269C50391}">
      <text>
        <t>[Threaded comment]
Your version of Excel allows you to read this threaded comment; however, any edits to it will get removed if the file is opened in a newer version of Excel. Learn more: https://go.microsoft.com/fwlink/?linkid=870924
Comment:
    PP     VALOR
1296  3.000.000</t>
      </text>
    </comment>
    <comment ref="R75" authorId="31" shapeId="0" xr:uid="{ED38A47F-67AA-4D9F-A79A-CF7065F4FB14}">
      <text>
        <t>[Threaded comment]
Your version of Excel allows you to read this threaded comment; however, any edits to it will get removed if the file is opened in a newer version of Excel. Learn more: https://go.microsoft.com/fwlink/?linkid=870924
Comment:
    PP     VALOR
1296  1.800.000</t>
      </text>
    </comment>
    <comment ref="R76" authorId="32" shapeId="0" xr:uid="{C508A984-8442-46D2-88DB-384179186197}">
      <text>
        <t>[Threaded comment]
Your version of Excel allows you to read this threaded comment; however, any edits to it will get removed if the file is opened in a newer version of Excel. Learn more: https://go.microsoft.com/fwlink/?linkid=870924
Comment:
    PP     VALOR
1296  4.000.000</t>
      </text>
    </comment>
    <comment ref="R85" authorId="33" shapeId="0" xr:uid="{E2BA6975-D1C0-4828-84D0-D3B3D27C7036}">
      <text>
        <t>[Threaded comment]
Your version of Excel allows you to read this threaded comment; however, any edits to it will get removed if the file is opened in a newer version of Excel. Learn more: https://go.microsoft.com/fwlink/?linkid=870924
Comment:
    PP        VLR
100     60.000.000</t>
      </text>
    </comment>
    <comment ref="R86" authorId="34" shapeId="0" xr:uid="{52874285-129B-4804-97A9-904033040F55}">
      <text>
        <t>[Threaded comment]
Your version of Excel allows you to read this threaded comment; however, any edits to it will get removed if the file is opened in a newer version of Excel. Learn more: https://go.microsoft.com/fwlink/?linkid=870924
Comment:
    917      10.000.000</t>
      </text>
    </comment>
    <comment ref="R89" authorId="35" shapeId="0" xr:uid="{FA396EF5-94DE-4EA6-968A-BCC7D037EB56}">
      <text>
        <t>[Threaded comment]
Your version of Excel allows you to read this threaded comment; however, any edits to it will get removed if the file is opened in a newer version of Excel. Learn more: https://go.microsoft.com/fwlink/?linkid=870924
Comment:
    PP         VALOR
912         1.500.000</t>
      </text>
    </comment>
    <comment ref="R92" authorId="36" shapeId="0" xr:uid="{8FF95786-4F5D-45C6-B8A0-1746ADE002CD}">
      <text>
        <t>[Threaded comment]
Your version of Excel allows you to read this threaded comment; however, any edits to it will get removed if the file is opened in a newer version of Excel. Learn more: https://go.microsoft.com/fwlink/?linkid=870924
Comment:
    PP        VALOR
1082       6,800.000
1001       11.200.000
Reply:
    912       2.000.000</t>
      </text>
    </comment>
    <comment ref="R93" authorId="37" shapeId="0" xr:uid="{8B9D11F7-D2E8-4CBE-A99D-DEFA2354ABDD}">
      <text>
        <t>[Threaded comment]
Your version of Excel allows you to read this threaded comment; however, any edits to it will get removed if the file is opened in a newer version of Excel. Learn more: https://go.microsoft.com/fwlink/?linkid=870924
Comment:
    PP            VALOR
912          2.000.000</t>
      </text>
    </comment>
    <comment ref="R94" authorId="38" shapeId="0" xr:uid="{6F56091A-0AE9-4F62-B06E-31D5B842B0FD}">
      <text>
        <t>[Threaded comment]
Your version of Excel allows you to read this threaded comment; however, any edits to it will get removed if the file is opened in a newer version of Excel. Learn more: https://go.microsoft.com/fwlink/?linkid=870924
Comment:
    PP             VALOR
1082           8-000-000
927             11.200.000
917             6.000.000</t>
      </text>
    </comment>
    <comment ref="R95" authorId="39" shapeId="0" xr:uid="{87F0988D-D0C2-4EBD-B962-3F8B3DF7671A}">
      <text>
        <t>[Threaded comment]
Your version of Excel allows you to read this threaded comment; however, any edits to it will get removed if the file is opened in a newer version of Excel. Learn more: https://go.microsoft.com/fwlink/?linkid=870924
Comment:
    PP             VALOR
912         2.000.000</t>
      </text>
    </comment>
    <comment ref="R97" authorId="40" shapeId="0" xr:uid="{62F16857-F70A-4AF7-BD08-C8E1A6FE37DE}">
      <text>
        <t>[Threaded comment]
Your version of Excel allows you to read this threaded comment; however, any edits to it will get removed if the file is opened in a newer version of Excel. Learn more: https://go.microsoft.com/fwlink/?linkid=870924
Comment:
    PP            VALOR
912         3.300.000</t>
      </text>
    </comment>
    <comment ref="T98" authorId="41" shapeId="0" xr:uid="{F07A801A-76ED-4F7E-8789-1374309D2AAE}">
      <text>
        <t>[Threaded comment]
Your version of Excel allows you to read this threaded comment; however, any edits to it will get removed if the file is opened in a newer version of Excel. Learn more: https://go.microsoft.com/fwlink/?linkid=870924
Comment:
    AJUSTE PENDIENTE POR REALIZAR 9-01-2026</t>
      </text>
    </comment>
    <comment ref="R100" authorId="42" shapeId="0" xr:uid="{7842ABD3-B4F1-4318-AC5D-AED371F17ADC}">
      <text>
        <t>[Threaded comment]
Your version of Excel allows you to read this threaded comment; however, any edits to it will get removed if the file is opened in a newer version of Excel. Learn more: https://go.microsoft.com/fwlink/?linkid=870924
Comment:
    PP     VALOR 
154    90.951.160,41</t>
      </text>
    </comment>
    <comment ref="R102" authorId="43" shapeId="0" xr:uid="{E7191EEA-F0A2-4C29-9068-788F09C53D8E}">
      <text>
        <t>[Threaded comment]
Your version of Excel allows you to read this threaded comment; however, any edits to it will get removed if the file is opened in a newer version of Excel. Learn more: https://go.microsoft.com/fwlink/?linkid=870924
Comment:
    PP      VALOR
1159  182.566.842</t>
      </text>
    </comment>
    <comment ref="R105" authorId="44" shapeId="0" xr:uid="{3D1ECE98-863B-4A07-AE9A-E53398E5D9EA}">
      <text>
        <t>[Threaded comment]
Your version of Excel allows you to read this threaded comment; however, any edits to it will get removed if the file is opened in a newer version of Excel. Learn more: https://go.microsoft.com/fwlink/?linkid=870924
Comment:
    PP     VALOR
821    $16.000.000
Reply:
    1087    7.400.000</t>
      </text>
    </comment>
    <comment ref="S105" authorId="45" shapeId="0" xr:uid="{CA37FBFF-0399-498F-ADE7-D84F57C61FA9}">
      <text>
        <t>[Threaded comment]
Your version of Excel allows you to read this threaded comment; however, any edits to it will get removed if the file is opened in a newer version of Excel. Learn more: https://go.microsoft.com/fwlink/?linkid=870924
Comment:
    PP   CBPP    VALOR 
1087   619    7.400.000</t>
      </text>
    </comment>
    <comment ref="R112" authorId="46" shapeId="0" xr:uid="{5DD3AD8E-2381-45CB-A704-69454E7CF872}">
      <text>
        <t xml:space="preserve">[Threaded comment]
Your version of Excel allows you to read this threaded comment; however, any edits to it will get removed if the file is opened in a newer version of Excel. Learn more: https://go.microsoft.com/fwlink/?linkid=870924
Comment:
    PP    VALOR 
916     5.000.000
</t>
      </text>
    </comment>
    <comment ref="R113" authorId="47" shapeId="0" xr:uid="{F91A1F77-1359-4E40-AC8E-FCEFAABAA55C}">
      <text>
        <t>[Threaded comment]
Your version of Excel allows you to read this threaded comment; however, any edits to it will get removed if the file is opened in a newer version of Excel. Learn more: https://go.microsoft.com/fwlink/?linkid=870924
Comment:
    PP    VALOR 
916    5.000.000</t>
      </text>
    </comment>
    <comment ref="R115" authorId="48" shapeId="0" xr:uid="{179CA0D4-1677-47EB-9192-836FFFD2D47D}">
      <text>
        <t>[Threaded comment]
Your version of Excel allows you to read this threaded comment; however, any edits to it will get removed if the file is opened in a newer version of Excel. Learn more: https://go.microsoft.com/fwlink/?linkid=870924
Comment:
    PP    VALOR 
916    6.000.000</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tc={4BC9C9FB-194D-4F1A-9D2F-9FF8DCF1D454}</author>
    <author>tc={9062DE47-9697-406A-A252-DDE7D71EEE32}</author>
    <author>tc={099583BD-4791-4B5B-BEA5-D8185EECD285}</author>
    <author>tc={23D6349C-8042-4ED0-BD62-E47E5AB7A234}</author>
    <author>tc={CFB4D872-A057-479B-889D-A39C04EB0F38}</author>
    <author>tc={A9175942-3EEC-4ADA-9735-200EEA3FFD7B}</author>
    <author>tc={0BCDF6BE-0E1D-4596-9F89-FA2CC18E9D22}</author>
    <author>tc={A3C2833D-8B9E-4747-B77F-93C2CB3B995D}</author>
    <author>tc={E7B50162-7160-44D4-BA67-826C3E9DF5DF}</author>
    <author>tc={3FF239E9-2C28-4E95-AEAD-B7EDDDCD0662}</author>
    <author>tc={B69ED370-C380-42E3-80FE-00B7B10CAD8B}</author>
    <author>tc={7A1DEB67-3713-4A78-8654-8D96CB625964}</author>
    <author>tc={CB934938-0011-4D78-A355-AB949D9F41F8}</author>
    <author>tc={C8EB528F-6C02-4E9A-832A-9A1274AA7DD4}</author>
    <author>tc={1D3D6A6B-AE8D-4E6B-814B-A18E98C83F19}</author>
    <author>tc={3340C846-DF62-4A76-8AF5-4C2EADB7CBC3}</author>
    <author>tc={F9504F03-6A6A-492C-B299-72B722F3FF32}</author>
    <author>tc={A2AD356E-0563-484E-A37A-C0D9B2A508E1}</author>
    <author>tc={A98F6BBD-94AB-40C5-BA38-829FF65B98D4}</author>
    <author>tc={88A2F519-FBB1-43E1-A831-4C6867C472D2}</author>
    <author>tc={15F200B1-DEEE-4F83-8F9A-EBA6BD63A9CE}</author>
    <author>tc={70293518-678A-46B9-B612-3289E759EB04}</author>
    <author>tc={778338A2-A585-403B-B893-04A1F64DB171}</author>
    <author>tc={C22D0CA0-445F-4D7B-9CEA-076B41AA1786}</author>
  </authors>
  <commentList>
    <comment ref="R10" authorId="0" shapeId="0" xr:uid="{4BC9C9FB-194D-4F1A-9D2F-9FF8DCF1D454}">
      <text>
        <t>[Threaded comment]
Your version of Excel allows you to read this threaded comment; however, any edits to it will get removed if the file is opened in a newer version of Excel. Learn more: https://go.microsoft.com/fwlink/?linkid=870924
Comment:
    PP    VALOR 
598    7.800.000
915    4.600.000
Reply:
    589   4.200.000
Reply:
    671     4.000.000
672     7.000.000
621     5.000.000
944     5.000.000</t>
      </text>
    </comment>
    <comment ref="S10" authorId="1" shapeId="0" xr:uid="{9062DE47-9697-406A-A252-DDE7D71EEE32}">
      <text>
        <t>[Threaded comment]
Your version of Excel allows you to read this threaded comment; however, any edits to it will get removed if the file is opened in a newer version of Excel. Learn more: https://go.microsoft.com/fwlink/?linkid=870924
Comment:
    PP   CBPP     VALOR
672   422      7.000.000</t>
      </text>
    </comment>
    <comment ref="R12" authorId="2" shapeId="0" xr:uid="{099583BD-4791-4B5B-BEA5-D8185EECD285}">
      <text>
        <t>[Threaded comment]
Your version of Excel allows you to read this threaded comment; however, any edits to it will get removed if the file is opened in a newer version of Excel. Learn more: https://go.microsoft.com/fwlink/?linkid=870924
Comment:
    PP    VALOR 
915   3.500.000
939  10.500.000
Reply:
    589   3.000.000
Reply:
    671     3.000.000
Reply:
    933       7.700.000
672       7.000.000
100    10.800.000
933   7.700.000
Reply:
    1205      6.000.000
938       2.000.000
1250   3.000.000</t>
      </text>
    </comment>
    <comment ref="S12" authorId="3" shapeId="0" xr:uid="{23D6349C-8042-4ED0-BD62-E47E5AB7A234}">
      <text>
        <t>[Threaded comment]
Your version of Excel allows you to read this threaded comment; however, any edits to it will get removed if the file is opened in a newer version of Excel. Learn more: https://go.microsoft.com/fwlink/?linkid=870924
Comment:
    PP    CBPP    VALOR
672    422     7.000.000</t>
      </text>
    </comment>
    <comment ref="R15" authorId="4" shapeId="0" xr:uid="{CFB4D872-A057-479B-889D-A39C04EB0F38}">
      <text>
        <t>[Threaded comment]
Your version of Excel allows you to read this threaded comment; however, any edits to it will get removed if the file is opened in a newer version of Excel. Learn more: https://go.microsoft.com/fwlink/?linkid=870924
Comment:
    PP      VALOR
892    4.100.000
Reply:
    671    7.000.000   
1031   7.000.000
944    2.000.000
667    6.000.000</t>
      </text>
    </comment>
    <comment ref="R16" authorId="5" shapeId="0" xr:uid="{A9175942-3EEC-4ADA-9735-200EEA3FFD7B}">
      <text>
        <t>[Threaded comment]
Your version of Excel allows you to read this threaded comment; however, any edits to it will get removed if the file is opened in a newer version of Excel. Learn more: https://go.microsoft.com/fwlink/?linkid=870924
Comment:
    PP      VALOR 
915    3.000.000
Reply:
    671     2.000.000
885    4.500.000
944    5.000.000</t>
      </text>
    </comment>
    <comment ref="R17" authorId="6" shapeId="0" xr:uid="{0BCDF6BE-0E1D-4596-9F89-FA2CC18E9D22}">
      <text>
        <t>[Threaded comment]
Your version of Excel allows you to read this threaded comment; however, any edits to it will get removed if the file is opened in a newer version of Excel. Learn more: https://go.microsoft.com/fwlink/?linkid=870924
Comment:
    PP           VLR
593    9.800.000
920    8.000.000
670     7.000.000</t>
      </text>
    </comment>
    <comment ref="R19" authorId="7" shapeId="0" xr:uid="{A3C2833D-8B9E-4747-B77F-93C2CB3B995D}">
      <text>
        <t>[Threaded comment]
Your version of Excel allows you to read this threaded comment; however, any edits to it will get removed if the file is opened in a newer version of Excel. Learn more: https://go.microsoft.com/fwlink/?linkid=870924
Comment:
    PP    VALOR 
1236     12.000.000</t>
      </text>
    </comment>
    <comment ref="R20" authorId="8" shapeId="0" xr:uid="{E7B50162-7160-44D4-BA67-826C3E9DF5DF}">
      <text>
        <t>[Threaded comment]
Your version of Excel allows you to read this threaded comment; however, any edits to it will get removed if the file is opened in a newer version of Excel. Learn more: https://go.microsoft.com/fwlink/?linkid=870924
Comment:
    PP    VALOR 
585    5.000.000
603    7.000.000
882    14.000.000</t>
      </text>
    </comment>
    <comment ref="R23" authorId="9" shapeId="0" xr:uid="{3FF239E9-2C28-4E95-AEAD-B7EDDDCD0662}">
      <text>
        <t>[Threaded comment]
Your version of Excel allows you to read this threaded comment; however, any edits to it will get removed if the file is opened in a newer version of Excel. Learn more: https://go.microsoft.com/fwlink/?linkid=870924
Comment:
    pp       VALOR
582        6.800.000
Reply:
    829    9.000.000
948     4.000.000</t>
      </text>
    </comment>
    <comment ref="R25" authorId="10" shapeId="0" xr:uid="{B69ED370-C380-42E3-80FE-00B7B10CAD8B}">
      <text>
        <t>[Threaded comment]
Your version of Excel allows you to read this threaded comment; however, any edits to it will get removed if the file is opened in a newer version of Excel. Learn more: https://go.microsoft.com/fwlink/?linkid=870924
Comment:
    PP     VALOR
579   4.600.000
954   7.000.000
Reply:
    593     5.000.000
1031   3.500.000
1084    7.000.000
1179    12.800.000</t>
      </text>
    </comment>
    <comment ref="R27" authorId="11" shapeId="0" xr:uid="{7A1DEB67-3713-4A78-8654-8D96CB625964}">
      <text>
        <t>[Threaded comment]
Your version of Excel allows you to read this threaded comment; however, any edits to it will get removed if the file is opened in a newer version of Excel. Learn more: https://go.microsoft.com/fwlink/?linkid=870924
Comment:
    PP    VALOR
573   7.000.000
581    6.000.000
583   8.800.000
932    7.000.000
949    7.800.000
1213  7.000.000
1256    10.500.000
Reply:
    1089     7.000.000
1031    3.500.000
1084     7.000.000
1085    7.000.000
1091    7.000.000
1094    7.000.000
1101    7.000.000
1169     7.000.000
1179     1.200.000
Reply:
    1413        7.000.000</t>
      </text>
    </comment>
    <comment ref="S27" authorId="12" shapeId="0" xr:uid="{CB934938-0011-4D78-A355-AB949D9F41F8}">
      <text>
        <t>[Threaded comment]
Your version of Excel allows you to read this threaded comment; however, any edits to it will get removed if the file is opened in a newer version of Excel. Learn more: https://go.microsoft.com/fwlink/?linkid=870924
Comment:
    PP    CBPPP    VALOR 
583   135      8.800.000</t>
      </text>
    </comment>
    <comment ref="R28" authorId="13" shapeId="0" xr:uid="{C8EB528F-6C02-4E9A-832A-9A1274AA7DD4}">
      <text>
        <t>[Threaded comment]
Your version of Excel allows you to read this threaded comment; however, any edits to it will get removed if the file is opened in a newer version of Excel. Learn more: https://go.microsoft.com/fwlink/?linkid=870924
Comment:
    PP           VALOR
933       22.000.000
932         7.000.000
990       11.200.000
949       7.000.000
Reply:
    1089     7.000.000
933     22.000.000
1085    7.000.000
1091    7.000.000
1094    7.000.000
1101     7.000.000
1169     7.000.000
Reply:
    1413     7.000.000</t>
      </text>
    </comment>
    <comment ref="R35" authorId="14" shapeId="0" xr:uid="{1D3D6A6B-AE8D-4E6B-814B-A18E98C83F19}">
      <text>
        <t>[Threaded comment]
Your version of Excel allows you to read this threaded comment; however, any edits to it will get removed if the file is opened in a newer version of Excel. Learn more: https://go.microsoft.com/fwlink/?linkid=870924
Comment:
    PP    VALOR
576   5.600.000
585    9.000.000
598    7.000.000
1024   12.000.000
1081   12.000.000
1099   10.800.000
1254   7.200.000
Reply:
    907   12.800.000
Reply:
    942     10.000.000
Reply:
    934    10.000.000
926     6.600.000
1033    11.600.000
1103     4.400.000
1250     7.000.000
605      4.200.000
Reply:
    1267            10.500.000</t>
      </text>
    </comment>
    <comment ref="R37" authorId="15" shapeId="0" xr:uid="{3340C846-DF62-4A76-8AF5-4C2EADB7CBC3}">
      <text>
        <t>[Threaded comment]
Your version of Excel allows you to read this threaded comment; however, any edits to it will get removed if the file is opened in a newer version of Excel. Learn more: https://go.microsoft.com/fwlink/?linkid=870924
Comment:
    PP     VALOR
579   7.000.000
583   7.600.000
800     13.200.000
603    7.800.000
595    9.000.000
1248  10.000.000
Reply:
    668    11.600.000
Reply:
    829    7.000.000
Reply:
    952     13.200.000
819     7.000.000
885     6.000.000
604     14.000.000
920    1.000.000
Reply:
    602       6.000.000
Reply:
    1205         6.800.000
Reply:
    1273       4.000.000
948    10.000.000
1251     10.000.000
667    8.000.000</t>
      </text>
    </comment>
    <comment ref="S37" authorId="16" shapeId="0" xr:uid="{F9504F03-6A6A-492C-B299-72B722F3FF32}">
      <text>
        <t>[Threaded comment]
Your version of Excel allows you to read this threaded comment; however, any edits to it will get removed if the file is opened in a newer version of Excel. Learn more: https://go.microsoft.com/fwlink/?linkid=870924
Comment:
    PP    CBPP     VALOR
800    218      13.200.000
583    136     7.600.000</t>
      </text>
    </comment>
    <comment ref="R39" authorId="17" shapeId="0" xr:uid="{A2AD356E-0563-484E-A37A-C0D9B2A508E1}">
      <text>
        <t>[Threaded comment]
Your version of Excel allows you to read this threaded comment; however, any edits to it will get removed if the file is opened in a newer version of Excel. Learn more: https://go.microsoft.com/fwlink/?linkid=870924
Comment:
    PP       VALOR
576     3.000.000
573     9.000.000
852    10.800.000
954     7.000.000
669     7.200.000
1277   5.000.000
Reply:
    611     5.000.000
855     4.000.000
Reply:
    100     19.200.000
938      8.500.000
Reply:
    608        7.500.000</t>
      </text>
    </comment>
    <comment ref="R42" authorId="18" shapeId="0" xr:uid="{A98F6BBD-94AB-40C5-BA38-829FF65B98D4}">
      <text>
        <t>[Threaded comment]
Your version of Excel allows you to read this threaded comment; however, any edits to it will get removed if the file is opened in a newer version of Excel. Learn more: https://go.microsoft.com/fwlink/?linkid=870924
Comment:
    PP       VALOR
892     4.000.000
1255   11.600.000</t>
      </text>
    </comment>
    <comment ref="R43" authorId="19" shapeId="0" xr:uid="{88A2F519-FBB1-43E1-A831-4C6867C472D2}">
      <text>
        <t>[Threaded comment]
Your version of Excel allows you to read this threaded comment; however, any edits to it will get removed if the file is opened in a newer version of Excel. Learn more: https://go.microsoft.com/fwlink/?linkid=870924
Comment:
    PP         VALOR
611    5.800.000
819     7.000.000</t>
      </text>
    </comment>
    <comment ref="R44" authorId="20" shapeId="0" xr:uid="{15F200B1-DEEE-4F83-8F9A-EBA6BD63A9CE}">
      <text>
        <t>[Threaded comment]
Your version of Excel allows you to read this threaded comment; however, any edits to it will get removed if the file is opened in a newer version of Excel. Learn more: https://go.microsoft.com/fwlink/?linkid=870924
Comment:
    PP     VALOR 
581   8.800.000
998  11.200.000
993    8.400.000
Reply:
    602    5.600.000
936    8.400.000
1103    4.000.000
621    5.800.000
1253   11.200.000
Reply:
    1274         8.400.000</t>
      </text>
    </comment>
    <comment ref="R47" authorId="21" shapeId="0" xr:uid="{70293518-678A-46B9-B612-3289E759EB04}">
      <text>
        <t>[Threaded comment]
Your version of Excel allows you to read this threaded comment; however, any edits to it will get removed if the file is opened in a newer version of Excel. Learn more: https://go.microsoft.com/fwlink/?linkid=870924
Comment:
    PP   VALOR
576   3.000.000
595    5.000.000
855    7.200.000
1008   14.800.000
1213     7.800.000
1277   5.000.000
Reply:
    1273     6.000.000</t>
      </text>
    </comment>
    <comment ref="R48" authorId="22" shapeId="0" xr:uid="{778338A2-A585-403B-B893-04A1F64DB171}">
      <text>
        <t>[Threaded comment]
Your version of Excel allows you to read this threaded comment; however, any edits to it will get removed if the file is opened in a newer version of Excel. Learn more: https://go.microsoft.com/fwlink/?linkid=870924
Comment:
    PP    VALOR 
623    14.000.000</t>
      </text>
    </comment>
    <comment ref="R52" authorId="23" shapeId="0" xr:uid="{C22D0CA0-445F-4D7B-9CEA-076B41AA1786}">
      <text>
        <t>[Threaded comment]
Your version of Excel allows you to read this threaded comment; however, any edits to it will get removed if the file is opened in a newer version of Excel. Learn more: https://go.microsoft.com/fwlink/?linkid=870924
Comment:
      PP   VALOR
605    7.000.000</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tc={75D89B76-DC6C-4F44-97A4-EA48FDD93DBE}</author>
    <author>tc={F54DB055-BF54-43B2-9A36-2AD757F8D157}</author>
    <author>tc={A96CF017-DB4A-4F3C-BDED-66B1683AA76E}</author>
    <author>tc={A3FF6BA8-DA1C-42AE-A8D4-BA443E8EE60D}</author>
    <author>tc={839D5C92-628E-4420-A3ED-C981D9793B43}</author>
    <author>tc={7114B2D8-7A96-47C2-B5A9-C299E883C748}</author>
    <author>tc={78BD7C60-E1CB-4379-A10D-AC8BE7F404A3}</author>
    <author>tc={01EEC614-B54A-4588-9880-412AEDE58B70}</author>
    <author>tc={C134ED23-04D5-42F7-8571-D658B8FB68E5}</author>
    <author>tc={D3E2E769-8999-459D-AE5E-71640053510E}</author>
    <author>tc={CD5BA3F5-1521-4F8E-AD11-7B615543B4E2}</author>
    <author>tc={7DBCA71C-D1B3-4B94-94DB-F12BD87AB47C}</author>
    <author>tc={15E081BB-F327-4885-BFA8-82D48D77C010}</author>
    <author>tc={4A6B149F-3EC2-420F-AE47-B972432B2CF6}</author>
    <author>tc={43C3EE42-4984-461E-A2FB-8A0378939AA2}</author>
    <author>tc={A532FC3D-F5BA-4369-8CBE-3650BE6B80E8}</author>
    <author>tc={F9F17E1E-2971-4408-9219-527C500F8E46}</author>
    <author>tc={F84C84D5-8927-4FEB-ABE3-B31E5CB02D4E}</author>
    <author>tc={FF10B2BD-5916-4ACD-A8DE-AAF884155711}</author>
    <author>tc={18DE130B-DFC9-43CA-81A8-7431DA0FA01F}</author>
    <author>tc={E9402D7F-3D8B-47B9-B25F-925B4F56C152}</author>
    <author>tc={0ABCC8B2-3AE6-41C2-BE6D-E0013A1779AC}</author>
    <author>tc={5F3F3B3B-A796-43F0-BBE4-AE8661C8E963}</author>
    <author>tc={41CCFFD6-3223-45D7-8248-79F77BB36492}</author>
    <author>tc={ABE49F8D-9557-4F68-8310-F01BC59472F2}</author>
  </authors>
  <commentList>
    <comment ref="R11" authorId="0" shapeId="0" xr:uid="{75D89B76-DC6C-4F44-97A4-EA48FDD93DBE}">
      <text>
        <t>[Threaded comment]
Your version of Excel allows you to read this threaded comment; however, any edits to it will get removed if the file is opened in a newer version of Excel. Learn more: https://go.microsoft.com/fwlink/?linkid=870924
Comment:
    PP    VALOR 
152    93.330.000</t>
      </text>
    </comment>
    <comment ref="R15" authorId="1" shapeId="0" xr:uid="{F54DB055-BF54-43B2-9A36-2AD757F8D157}">
      <text>
        <t>[Threaded comment]
Your version of Excel allows you to read this threaded comment; however, any edits to it will get removed if the file is opened in a newer version of Excel. Learn more: https://go.microsoft.com/fwlink/?linkid=870924
Comment:
    PP    VALOR 
633    14.800.000
359   16.000.000
816    5.500.000
757     7.400.000
741   16.000.000
762      6.000.000
1417     14.800.000
1397     14.800.000
1421      7.400.000</t>
      </text>
    </comment>
    <comment ref="R18" authorId="2" shapeId="0" xr:uid="{A96CF017-DB4A-4F3C-BDED-66B1683AA76E}">
      <text>
        <t>[Threaded comment]
Your version of Excel allows you to read this threaded comment; however, any edits to it will get removed if the file is opened in a newer version of Excel. Learn more: https://go.microsoft.com/fwlink/?linkid=870924
Comment:
    PP       VLR
100   20.000.000
757    7.400.000
762     6.000.000
1421   7.400.000
Reply:
    867     7.400.000</t>
      </text>
    </comment>
    <comment ref="R24" authorId="3" shapeId="0" xr:uid="{A3FF6BA8-DA1C-42AE-A8D4-BA443E8EE60D}">
      <text>
        <t>[Threaded comment]
Your version of Excel allows you to read this threaded comment; however, any edits to it will get removed if the file is opened in a newer version of Excel. Learn more: https://go.microsoft.com/fwlink/?linkid=870924
Comment:
    PP    VALOR 
572    14.800.000
607   6.000.000</t>
      </text>
    </comment>
    <comment ref="R25" authorId="4" shapeId="0" xr:uid="{839D5C92-628E-4420-A3ED-C981D9793B43}">
      <text>
        <t>[Threaded comment]
Your version of Excel allows you to read this threaded comment; however, any edits to it will get removed if the file is opened in a newer version of Excel. Learn more: https://go.microsoft.com/fwlink/?linkid=870924
Comment:
    PP    VALOR
607    6.000.000
592     14.400.000
181    4.000.000</t>
      </text>
    </comment>
    <comment ref="R26" authorId="5" shapeId="0" xr:uid="{7114B2D8-7A96-47C2-B5A9-C299E883C748}">
      <text>
        <t>[Threaded comment]
Your version of Excel allows you to read this threaded comment; however, any edits to it will get removed if the file is opened in a newer version of Excel. Learn more: https://go.microsoft.com/fwlink/?linkid=870924
Comment:
    PP            VALOR 
645       14.800.000
1419     16.000.000
Reply:
    1064    5.600.000</t>
      </text>
    </comment>
    <comment ref="R28" authorId="6" shapeId="0" xr:uid="{78BD7C60-E1CB-4379-A10D-AC8BE7F404A3}">
      <text>
        <t>[Threaded comment]
Your version of Excel allows you to read this threaded comment; however, any edits to it will get removed if the file is opened in a newer version of Excel. Learn more: https://go.microsoft.com/fwlink/?linkid=870924
Comment:
    PP    VALOR 
153   36.000.000</t>
      </text>
    </comment>
    <comment ref="R31" authorId="7" shapeId="0" xr:uid="{01EEC614-B54A-4588-9880-412AEDE58B70}">
      <text>
        <t>[Threaded comment]
Your version of Excel allows you to read this threaded comment; however, any edits to it will get removed if the file is opened in a newer version of Excel. Learn more: https://go.microsoft.com/fwlink/?linkid=870924
Comment:
    PP     VALOR 
181    6.000.000
816    5.000.000
Reply:
    100      20.000.000</t>
      </text>
    </comment>
    <comment ref="R32" authorId="8" shapeId="0" xr:uid="{C134ED23-04D5-42F7-8571-D658B8FB68E5}">
      <text>
        <t>[Threaded comment]
Your version of Excel allows you to read this threaded comment; however, any edits to it will get removed if the file is opened in a newer version of Excel. Learn more: https://go.microsoft.com/fwlink/?linkid=870924
Comment:
    PP    VALOR
607    6.000.000
265    14.400.000
1458    7.400.000
Reply:
    814     14.800.000
1064    5.600.000</t>
      </text>
    </comment>
    <comment ref="R34" authorId="9" shapeId="0" xr:uid="{D3E2E769-8999-459D-AE5E-71640053510E}">
      <text>
        <t>[Threaded comment]
Your version of Excel allows you to read this threaded comment; however, any edits to it will get removed if the file is opened in a newer version of Excel. Learn more: https://go.microsoft.com/fwlink/?linkid=870924
Comment:
    PP    VALOR
619    14.800.000
181     6.000.000
986    14.800.000
Reply:
    399     16.000.000
612     16.000.000
1070   9.600.000
921     14.800.000
1030   14.800.000
Reply:
    921          14.800,000
Reply:
Reply:
    867     7.400.000</t>
      </text>
    </comment>
    <comment ref="R37" authorId="10" shapeId="0" xr:uid="{CD5BA3F5-1521-4F8E-AD11-7B615543B4E2}">
      <text>
        <t>[Threaded comment]
Your version of Excel allows you to read this threaded comment; however, any edits to it will get removed if the file is opened in a newer version of Excel. Learn more: https://go.microsoft.com/fwlink/?linkid=870924
Comment:
        PP    VALOR
  854   14.800.000
Reply:
    1466      12.000.000</t>
      </text>
    </comment>
    <comment ref="R38" authorId="11" shapeId="0" xr:uid="{7DBCA71C-D1B3-4B94-94DB-F12BD87AB47C}">
      <text>
        <t>[Threaded comment]
Your version of Excel allows you to read this threaded comment; however, any edits to it will get removed if the file is opened in a newer version of Excel. Learn more: https://go.microsoft.com/fwlink/?linkid=870924
Comment:
    PP               VALOR
838                 14.800.000
848                 18.000.000</t>
      </text>
    </comment>
    <comment ref="R39" authorId="12" shapeId="0" xr:uid="{15E081BB-F327-4885-BFA8-82D48D77C010}">
      <text>
        <t>[Threaded comment]
Your version of Excel allows you to read this threaded comment; however, any edits to it will get removed if the file is opened in a newer version of Excel. Learn more: https://go.microsoft.com/fwlink/?linkid=870924
Comment:
    PP     VALOR 
768     4.000.000</t>
      </text>
    </comment>
    <comment ref="R40" authorId="13" shapeId="0" xr:uid="{4A6B149F-3EC2-420F-AE47-B972432B2CF6}">
      <text>
        <t>[Threaded comment]
Your version of Excel allows you to read this threaded comment; however, any edits to it will get removed if the file is opened in a newer version of Excel. Learn more: https://go.microsoft.com/fwlink/?linkid=870924
Comment:
    PP     VALOR 
754    7.400.000
975    14.800.000
Reply:
    1064      5.600.000</t>
      </text>
    </comment>
    <comment ref="R41" authorId="14" shapeId="0" xr:uid="{43C3EE42-4984-461E-A2FB-8A0378939AA2}">
      <text>
        <t>[Threaded comment]
Your version of Excel allows you to read this threaded comment; however, any edits to it will get removed if the file is opened in a newer version of Excel. Learn more: https://go.microsoft.com/fwlink/?linkid=870924
Comment:
    PP     VALOR 
754    7.400.000
Reply:
    988       4.000.000
918     4.000.000
979     4.000.000
992      4.000.000</t>
      </text>
    </comment>
    <comment ref="R42" authorId="15" shapeId="0" xr:uid="{A532FC3D-F5BA-4369-8CBE-3650BE6B80E8}">
      <text>
        <t>[Threaded comment]
Your version of Excel allows you to read this threaded comment; however, any edits to it will get removed if the file is opened in a newer version of Excel. Learn more: https://go.microsoft.com/fwlink/?linkid=870924
Comment:
    PP     VALOR 
984    16.000.000
Reply:
    992     12.000.000
1140     14.800.000
794      16.000.000</t>
      </text>
    </comment>
    <comment ref="R43" authorId="16" shapeId="0" xr:uid="{F9F17E1E-2971-4408-9219-527C500F8E46}">
      <text>
        <t>[Threaded comment]
Your version of Excel allows you to read this threaded comment; however, any edits to it will get removed if the file is opened in a newer version of Excel. Learn more: https://go.microsoft.com/fwlink/?linkid=870924
Comment:
    PP     VALOR 
816    5.500.000
901  18.600.000
Reply:
    988        12.000.000
918     12.000.000
979      12.000.000
768       12.000.000</t>
      </text>
    </comment>
    <comment ref="R47" authorId="17" shapeId="0" xr:uid="{F84C84D5-8927-4FEB-ABE3-B31E5CB02D4E}">
      <text>
        <t>[Threaded comment]
Your version of Excel allows you to read this threaded comment; however, any edits to it will get removed if the file is opened in a newer version of Excel. Learn more: https://go.microsoft.com/fwlink/?linkid=870924
Comment:
    PP        VLR
100    10.000.000
1187  16.000.000
Reply:
    1471      14.800.000
Reply:
    867         7.400.000</t>
      </text>
    </comment>
    <comment ref="R52" authorId="18" shapeId="0" xr:uid="{FF10B2BD-5916-4ACD-A8DE-AAF884155711}">
      <text>
        <t>[Threaded comment]
Your version of Excel allows you to read this threaded comment; however, any edits to it will get removed if the file is opened in a newer version of Excel. Learn more: https://go.microsoft.com/fwlink/?linkid=870924
Comment:
    PP    VALOR 
161   17.550.000</t>
      </text>
    </comment>
    <comment ref="R53" authorId="19" shapeId="0" xr:uid="{18DE130B-DFC9-43CA-81A8-7431DA0FA01F}">
      <text>
        <t>[Threaded comment]
Your version of Excel allows you to read this threaded comment; however, any edits to it will get removed if the file is opened in a newer version of Excel. Learn more: https://go.microsoft.com/fwlink/?linkid=870924
Comment:
    PP         VLR
911   16.000.000</t>
      </text>
    </comment>
    <comment ref="R56" authorId="20" shapeId="0" xr:uid="{E9402D7F-3D8B-47B9-B25F-925B4F56C152}">
      <text>
        <t>[Threaded comment]
Your version of Excel allows you to read this threaded comment; however, any edits to it will get removed if the file is opened in a newer version of Excel. Learn more: https://go.microsoft.com/fwlink/?linkid=870924
Comment:
    PP        VALOR 
1135     14.800.000</t>
      </text>
    </comment>
    <comment ref="R57" authorId="21" shapeId="0" xr:uid="{0ABCC8B2-3AE6-41C2-BE6D-E0013A1779AC}">
      <text>
        <t>[Threaded comment]
Your version of Excel allows you to read this threaded comment; however, any edits to it will get removed if the file is opened in a newer version of Excel. Learn more: https://go.microsoft.com/fwlink/?linkid=870924
Comment:
    PP            VLR
901   3.600.000
1141  16.000.000
Reply:
    1479       12.000.000</t>
      </text>
    </comment>
    <comment ref="R58" authorId="22" shapeId="0" xr:uid="{5F3F3B3B-A796-43F0-BBE4-AE8661C8E963}">
      <text>
        <t>[Threaded comment]
Your version of Excel allows you to read this threaded comment; however, any edits to it will get removed if the file is opened in a newer version of Excel. Learn more: https://go.microsoft.com/fwlink/?linkid=870924
Comment:
    PP                VALOR
1144             9.200.000
Reply:
    1161      8.000.000
1170     14.800.000</t>
      </text>
    </comment>
    <comment ref="R60" authorId="23" shapeId="0" xr:uid="{41CCFFD6-3223-45D7-8248-79F77BB36492}">
      <text>
        <t>[Threaded comment]
Your version of Excel allows you to read this threaded comment; however, any edits to it will get removed if the file is opened in a newer version of Excel. Learn more: https://go.microsoft.com/fwlink/?linkid=870924
Comment:
    PP         VLR
100   10.000.000
1144    8.000.000
Reply:
    1002       90.000.000
1161     9.200.000</t>
      </text>
    </comment>
    <comment ref="R63" authorId="24" shapeId="0" xr:uid="{ABE49F8D-9557-4F68-8310-F01BC59472F2}">
      <text>
        <t>[Threaded comment]
Your version of Excel allows you to read this threaded comment; however, any edits to it will get removed if the file is opened in a newer version of Excel. Learn more: https://go.microsoft.com/fwlink/?linkid=870924
Comment:
    PP    VALOR 
1003    14.800.000
1458    7.400.000</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tc={CAF5432C-764A-4D06-B841-15CB5E4872BD}</author>
    <author>tc={852ABFC7-58EA-401B-A53C-8A2E815CDF98}</author>
    <author>tc={0245CD84-108D-4DA7-A154-F5309BC003D5}</author>
    <author>tc={FF05A14F-1D10-47B0-BA10-BCD4851B7F94}</author>
    <author>tc={B1D12FCF-FAA2-4BC2-A3D8-96BA2AB63E36}</author>
    <author>tc={9F0211B9-BB71-4981-A1EF-CBA5674A5A50}</author>
    <author>tc={009AB4A8-F577-457D-B49D-248B909AE855}</author>
    <author>tc={D0552E2C-4DA3-4AD6-BCE7-713D5DB0CEEF}</author>
    <author>tc={A1B90549-2163-4683-B81E-6B2003487576}</author>
    <author>tc={13D5A36E-B9F6-4819-BCFE-0176584E53F1}</author>
    <author>tc={746DB99D-F960-4D6C-AE35-E102225F080F}</author>
    <author>tc={84EE202C-F695-45BB-8965-FA2B893FA1DF}</author>
    <author>tc={8881FAC9-FBAB-4E01-A4DE-C05A54E07AC7}</author>
    <author>tc={BCF28358-4AAA-47CD-A111-DF62DA2BEDE5}</author>
    <author>tc={CF302A21-9C7D-4CED-9C4D-B99903DF85EA}</author>
    <author>tc={1546E2A5-5D42-4C52-B073-68C9B5639145}</author>
    <author>tc={53965F7D-9884-4800-AB7D-987C74EAB736}</author>
    <author>tc={AB19EB0D-910F-4A29-9537-74F8D873B84E}</author>
    <author>tc={818F29D3-5D1A-4CEA-B957-3A9DA0E631BA}</author>
    <author>tc={D11E75C3-D98F-43D9-AA26-43FB274A8F40}</author>
    <author>tc={E2208FC2-A3DC-4557-9F41-D256E98F7FF1}</author>
    <author>tc={5DFD5050-4DD3-4AB2-BE5D-6E83D4246268}</author>
    <author>tc={6C1BAB55-A491-4D94-92E9-CF464866C797}</author>
    <author>tc={CCF3B203-373F-4C8C-8E60-0E776F1165CB}</author>
    <author>tc={ADF89311-F59D-41AC-987D-18BC07543349}</author>
    <author>tc={783AEAD4-9C5D-47C2-BA1A-F2300FD5B6CC}</author>
  </authors>
  <commentList>
    <comment ref="R10" authorId="0" shapeId="0" xr:uid="{CAF5432C-764A-4D06-B841-15CB5E4872BD}">
      <text>
        <t>[Threaded comment]
Your version of Excel allows you to read this threaded comment; however, any edits to it will get removed if the file is opened in a newer version of Excel. Learn more: https://go.microsoft.com/fwlink/?linkid=870924
Comment:
    PP     VALOR 
656    16.000.000</t>
      </text>
    </comment>
    <comment ref="R11" authorId="1" shapeId="0" xr:uid="{852ABFC7-58EA-401B-A53C-8A2E815CDF98}">
      <text>
        <t>[Threaded comment]
Your version of Excel allows you to read this threaded comment; however, any edits to it will get removed if the file is opened in a newer version of Excel. Learn more: https://go.microsoft.com/fwlink/?linkid=870924
Comment:
    PP       VALOR 
742      16.000.000</t>
      </text>
    </comment>
    <comment ref="R12" authorId="2" shapeId="0" xr:uid="{0245CD84-108D-4DA7-A154-F5309BC003D5}">
      <text>
        <t>[Threaded comment]
Your version of Excel allows you to read this threaded comment; however, any edits to it will get removed if the file is opened in a newer version of Excel. Learn more: https://go.microsoft.com/fwlink/?linkid=870924
Comment:
    PP    VALOR 
761    14.000.000</t>
      </text>
    </comment>
    <comment ref="R13" authorId="3" shapeId="0" xr:uid="{FF05A14F-1D10-47B0-BA10-BCD4851B7F94}">
      <text>
        <t>[Threaded comment]
Your version of Excel allows you to read this threaded comment; however, any edits to it will get removed if the file is opened in a newer version of Excel. Learn more: https://go.microsoft.com/fwlink/?linkid=870924
Comment:
    PP    VALOR 
761   2.000.000</t>
      </text>
    </comment>
    <comment ref="R14" authorId="4" shapeId="0" xr:uid="{B1D12FCF-FAA2-4BC2-A3D8-96BA2AB63E36}">
      <text>
        <t>[Threaded comment]
Your version of Excel allows you to read this threaded comment; however, any edits to it will get removed if the file is opened in a newer version of Excel. Learn more: https://go.microsoft.com/fwlink/?linkid=870924
Comment:
    PP        VALOR
804        16.000.000</t>
      </text>
    </comment>
    <comment ref="R16" authorId="5" shapeId="0" xr:uid="{9F0211B9-BB71-4981-A1EF-CBA5674A5A50}">
      <text>
        <t>[Threaded comment]
Your version of Excel allows you to read this threaded comment; however, any edits to it will get removed if the file is opened in a newer version of Excel. Learn more: https://go.microsoft.com/fwlink/?linkid=870924
Comment:
    PP     VALOR 
753   4.600.000</t>
      </text>
    </comment>
    <comment ref="R17" authorId="6" shapeId="0" xr:uid="{009AB4A8-F577-457D-B49D-248B909AE855}">
      <text>
        <t>[Threaded comment]
Your version of Excel allows you to read this threaded comment; however, any edits to it will get removed if the file is opened in a newer version of Excel. Learn more: https://go.microsoft.com/fwlink/?linkid=870924
Comment:
    PP     VALOR 
753   10.200.000</t>
      </text>
    </comment>
    <comment ref="R19" authorId="7" shapeId="0" xr:uid="{D0552E2C-4DA3-4AD6-BCE7-713D5DB0CEEF}">
      <text>
        <t>[Threaded comment]
Your version of Excel allows you to read this threaded comment; however, any edits to it will get removed if the file is opened in a newer version of Excel. Learn more: https://go.microsoft.com/fwlink/?linkid=870924
Comment:
    PP     VALOR
820    10.000.000
878     16.000.000</t>
      </text>
    </comment>
    <comment ref="R20" authorId="8" shapeId="0" xr:uid="{A1B90549-2163-4683-B81E-6B2003487576}">
      <text>
        <t>[Threaded comment]
Your version of Excel allows you to read this threaded comment; however, any edits to it will get removed if the file is opened in a newer version of Excel. Learn more: https://go.microsoft.com/fwlink/?linkid=870924
Comment:
    835     12.000.000
846     14.800.000
1097   14.800.000
1172    14.800.000
1375    4.300.000</t>
      </text>
    </comment>
    <comment ref="R21" authorId="9" shapeId="0" xr:uid="{13D5A36E-B9F6-4819-BCFE-0176584E53F1}">
      <text>
        <t xml:space="preserve">[Threaded comment]
Your version of Excel allows you to read this threaded comment; however, any edits to it will get removed if the file is opened in a newer version of Excel. Learn more: https://go.microsoft.com/fwlink/?linkid=870924
Comment:
    PP         VALOR
928       16.000.000
1004     10.800.000
1154     10.800.000
Reply:
    989          5.600.000
</t>
      </text>
    </comment>
    <comment ref="R22" authorId="10" shapeId="0" xr:uid="{746DB99D-F960-4D6C-AE35-E102225F080F}">
      <text>
        <t>[Threaded comment]
Your version of Excel allows you to read this threaded comment; however, any edits to it will get removed if the file is opened in a newer version of Excel. Learn more: https://go.microsoft.com/fwlink/?linkid=870924
Comment:
    PP              VALOR
989             9.200.000
996           14.800.000</t>
      </text>
    </comment>
    <comment ref="R23" authorId="11" shapeId="0" xr:uid="{84EE202C-F695-45BB-8965-FA2B893FA1DF}">
      <text>
        <t>[Threaded comment]
Your version of Excel allows you to read this threaded comment; however, any edits to it will get removed if the file is opened in a newer version of Excel. Learn more: https://go.microsoft.com/fwlink/?linkid=870924
Comment:
    PP          VALOR
840       10.800.000
1160     14.800.000
1394     14.800.000
923       14.800.000</t>
      </text>
    </comment>
    <comment ref="R24" authorId="12" shapeId="0" xr:uid="{8881FAC9-FBAB-4E01-A4DE-C05A54E07AC7}">
      <text>
        <t>[Threaded comment]
Your version of Excel allows you to read this threaded comment; however, any edits to it will get removed if the file is opened in a newer version of Excel. Learn more: https://go.microsoft.com/fwlink/?linkid=870924
Comment:
    PP    VALOR 
820   2.000.000
Reply:
    807     14.800.000
Reply:
    1375    10.500.000
1409    14.800.000</t>
      </text>
    </comment>
    <comment ref="S24" authorId="13" shapeId="0" xr:uid="{BCF28358-4AAA-47CD-A111-DF62DA2BEDE5}">
      <text>
        <t>[Threaded comment]
Your version of Excel allows you to read this threaded comment; however, any edits to it will get removed if the file is opened in a newer version of Excel. Learn more: https://go.microsoft.com/fwlink/?linkid=870924
Comment:
    PP       VALOR
807      14.800.000</t>
      </text>
    </comment>
    <comment ref="R25" authorId="14" shapeId="0" xr:uid="{CF302A21-9C7D-4CED-9C4D-B99903DF85EA}">
      <text>
        <t>[Threaded comment]
Your version of Excel allows you to read this threaded comment; however, any edits to it will get removed if the file is opened in a newer version of Excel. Learn more: https://go.microsoft.com/fwlink/?linkid=870924
Comment:
    PP    VALOR 
890   12.600.000</t>
      </text>
    </comment>
    <comment ref="R27" authorId="15" shapeId="0" xr:uid="{1546E2A5-5D42-4C52-B073-68C9B5639145}">
      <text>
        <t xml:space="preserve">[Threaded comment]
Your version of Excel allows you to read this threaded comment; however, any edits to it will get removed if the file is opened in a newer version of Excel. Learn more: https://go.microsoft.com/fwlink/?linkid=870924
Comment:
    1394    14.800.000
</t>
      </text>
    </comment>
    <comment ref="R28" authorId="16" shapeId="0" xr:uid="{53965F7D-9884-4800-AB7D-987C74EAB736}">
      <text>
        <t>[Threaded comment]
Your version of Excel allows you to read this threaded comment; however, any edits to it will get removed if the file is opened in a newer version of Excel. Learn more: https://go.microsoft.com/fwlink/?linkid=870924
Comment:
    PP         VLR
1142     14.800.000
1176     14.800.000</t>
      </text>
    </comment>
    <comment ref="R29" authorId="17" shapeId="0" xr:uid="{AB19EB0D-910F-4A29-9537-74F8D873B84E}">
      <text>
        <t>[Threaded comment]
Your version of Excel allows you to read this threaded comment; however, any edits to it will get removed if the file is opened in a newer version of Excel. Learn more: https://go.microsoft.com/fwlink/?linkid=870924
Comment:
    PP            VALOR
1387     14.800.000</t>
      </text>
    </comment>
    <comment ref="R33" authorId="18" shapeId="0" xr:uid="{818F29D3-5D1A-4CEA-B957-3A9DA0E631BA}">
      <text>
        <t>[Threaded comment]
Your version of Excel allows you to read this threaded comment; however, any edits to it will get removed if the file is opened in a newer version of Excel. Learn more: https://go.microsoft.com/fwlink/?linkid=870924
Comment:
    PP            VLR
913      76.482.482.75
903      20.000.000
910      100.000.000</t>
      </text>
    </comment>
    <comment ref="R34" authorId="19" shapeId="0" xr:uid="{D11E75C3-D98F-43D9-AA26-43FB274A8F40}">
      <text>
        <t>[Threaded comment]
Your version of Excel allows you to read this threaded comment; however, any edits to it will get removed if the file is opened in a newer version of Excel. Learn more: https://go.microsoft.com/fwlink/?linkid=870924
Comment:
    PP       VLR
100   60.000.000</t>
      </text>
    </comment>
    <comment ref="R35" authorId="20" shapeId="0" xr:uid="{E2208FC2-A3DC-4557-9F41-D256E98F7FF1}">
      <text>
        <t>[Threaded comment]
Your version of Excel allows you to read this threaded comment; however, any edits to it will get removed if the file is opened in a newer version of Excel. Learn more: https://go.microsoft.com/fwlink/?linkid=870924
Comment:
    PP     VALOR 
898   14.800.000
890    2.200.000
1146  14.800.000
Reply:
    1168       6.900.000</t>
      </text>
    </comment>
    <comment ref="R36" authorId="21" shapeId="0" xr:uid="{5DFD5050-4DD3-4AB2-BE5D-6E83D4246268}">
      <text>
        <t>[Threaded comment]
Your version of Excel allows you to read this threaded comment; however, any edits to it will get removed if the file is opened in a newer version of Excel. Learn more: https://go.microsoft.com/fwlink/?linkid=870924
Comment:
    PP             VLR
815    14.800.000</t>
      </text>
    </comment>
    <comment ref="S36" authorId="22" shapeId="0" xr:uid="{6C1BAB55-A491-4D94-92E9-CF464866C797}">
      <text>
        <t>[Threaded comment]
Your version of Excel allows you to read this threaded comment; however, any edits to it will get removed if the file is opened in a newer version of Excel. Learn more: https://go.microsoft.com/fwlink/?linkid=870924
Comment:
    PP         VALOR
1168      3.900.000</t>
      </text>
    </comment>
    <comment ref="R38" authorId="23" shapeId="0" xr:uid="{CCF3B203-373F-4C8C-8E60-0E776F1165CB}">
      <text>
        <t>[Threaded comment]
Your version of Excel allows you to read this threaded comment; however, any edits to it will get removed if the file is opened in a newer version of Excel. Learn more: https://go.microsoft.com/fwlink/?linkid=870924
Comment:
    PP             VLR
913       123.517.517.25
922      60.000.000</t>
      </text>
    </comment>
    <comment ref="R39" authorId="24" shapeId="0" xr:uid="{ADF89311-F59D-41AC-987D-18BC07543349}">
      <text>
        <t>[Threaded comment]
Your version of Excel allows you to read this threaded comment; however, any edits to it will get removed if the file is opened in a newer version of Excel. Learn more: https://go.microsoft.com/fwlink/?linkid=870924
Comment:
    PP      VALOR 
548     14.800.000
738     16.000.000
793     14.800.000
Reply:
    746     14.800.000</t>
      </text>
    </comment>
    <comment ref="R40" authorId="25" shapeId="0" xr:uid="{783AEAD4-9C5D-47C2-BA1A-F2300FD5B6CC}">
      <text>
        <t>[Threaded comment]
Your version of Excel allows you to read this threaded comment; however, any edits to it will get removed if the file is opened in a newer version of Excel. Learn more: https://go.microsoft.com/fwlink/?linkid=870924
Comment:
    PP      VALOR 
627    14.800.000
Reply:
    1086       14.800.000</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tc={52BEFBD7-8FA4-4584-ACE0-04CEC87A7E08}</author>
    <author>tc={466B060B-7594-45DC-B6B2-8F8BFF29EE94}</author>
    <author>tc={E52EDD95-6E90-4662-8399-F495E18BD3F7}</author>
    <author>tc={3B1CDDBD-A875-4E3E-82C9-DDC082DB3195}</author>
  </authors>
  <commentList>
    <comment ref="R11" authorId="0" shapeId="0" xr:uid="{52BEFBD7-8FA4-4584-ACE0-04CEC87A7E08}">
      <text>
        <t>[Threaded comment]
Your version of Excel allows you to read this threaded comment; however, any edits to it will get removed if the file is opened in a newer version of Excel. Learn more: https://go.microsoft.com/fwlink/?linkid=870924
Comment:
    PP   VALOR
215   14.800.000
231    12.800.000
263     16.000.000
278     14.800.000
318   22.000.000</t>
      </text>
    </comment>
    <comment ref="R12" authorId="1" shapeId="0" xr:uid="{466B060B-7594-45DC-B6B2-8F8BFF29EE94}">
      <text>
        <t>[Threaded comment]
Your version of Excel allows you to read this threaded comment; however, any edits to it will get removed if the file is opened in a newer version of Excel. Learn more: https://go.microsoft.com/fwlink/?linkid=870924
Comment:
    PP         VLR
134   1.850.000
412    22.200.000
439    12.000.000
427    14.800.000
364    10.800.000
249    14.800.000
446     14.800.000
387    14.800.000
462    10.800.000
383    16.000.000
1509   14.800.000</t>
      </text>
    </comment>
    <comment ref="R13" authorId="2" shapeId="0" xr:uid="{E52EDD95-6E90-4662-8399-F495E18BD3F7}">
      <text>
        <t>[Threaded comment]
Your version of Excel allows you to read this threaded comment; however, any edits to it will get removed if the file is opened in a newer version of Excel. Learn more: https://go.microsoft.com/fwlink/?linkid=870924
Comment:
    PP         VLR
100     90.000.000</t>
      </text>
    </comment>
    <comment ref="R14" authorId="3" shapeId="0" xr:uid="{3B1CDDBD-A875-4E3E-82C9-DDC082DB3195}">
      <text>
        <t>[Threaded comment]
Your version of Excel allows you to read this threaded comment; however, any edits to it will get removed if the file is opened in a newer version of Excel. Learn more: https://go.microsoft.com/fwlink/?linkid=870924
Comment:
    335      12.000.000
441      14.800.000
440       20.000.000
437        9.200.000
441       14.800.000
253        9.200.000
436        9.200.000
440       20.000.000
438       14.800.000
447       12.000.000
449       16.000.000
443       14.800.000
382        10.800.000
448       14.800.000
Reply:
    452     9.200.000
Reply:
    450       9.200.000</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tc={C71CA411-E414-4537-8C61-6C773D298432}</author>
    <author>tc={DF1D470D-CA37-40BA-B421-8D4632A979B7}</author>
    <author>tc={B59A3209-A4FE-4078-8373-DA98B0087BF9}</author>
    <author>tc={9706F64A-AF27-43FB-B338-FAA1AB6DAE5C}</author>
    <author>tc={03E48DA9-B0B4-4691-B976-E7488CE74982}</author>
    <author>tc={5FD2EC19-F5CC-44AA-9529-36F3ADDA21F1}</author>
    <author>tc={8ECB9D84-4CDF-41FC-851E-82C979092D2C}</author>
    <author>tc={6B85218B-FCB1-4971-8C0A-9504EF274103}</author>
    <author>tc={48097F88-8DC7-420A-B579-A862A3F8F8CC}</author>
    <author>tc={FE6E951B-05DE-4F98-B5E9-0CD685F56AAD}</author>
    <author>tc={EA67C263-92D7-4206-BEDF-950BAFF84541}</author>
    <author>tc={149E898D-D763-4A8D-8945-58CE139C78B8}</author>
    <author>tc={8FC316AA-7095-44C4-B6EE-B6B8D78BC077}</author>
    <author>tc={3BBEDF89-62EB-4A22-84D0-BB58CA1F1622}</author>
    <author>tc={3E0E8ECB-B7B3-4C01-A5B9-DADA12EC6F85}</author>
    <author>tc={92426529-0EF1-4254-B35E-3EAE341F965F}</author>
    <author>tc={CFDFDF57-BE7B-4B2D-8779-AAC4DB966085}</author>
    <author>tc={8259DB41-9491-4C32-8C42-C87D212551E8}</author>
    <author>tc={C284FEC0-68B3-4EA2-B9B7-C50EBD8F9DAB}</author>
    <author>tc={B9B92F86-5A1D-46BC-A3C7-809B9A5EA255}</author>
    <author>tc={CC407E2C-45DA-4C56-A7E0-80FB67BB66ED}</author>
    <author>tc={1E29F20B-F1F9-4868-9D7E-DA78810E6F6F}</author>
    <author>tc={9B5E84F9-9947-44A9-A014-1E8D84238DA6}</author>
    <author>tc={B57E1EDA-C7DB-4BF3-8035-209FFDAE69E0}</author>
    <author>tc={68FBB19C-1193-47BA-8C71-B83988EB1B04}</author>
    <author>tc={5CAF121C-9D52-4562-8EBD-200BD981E0A4}</author>
    <author>tc={0E0846AB-5707-4A05-95EE-3D76B9FC85C8}</author>
    <author>tc={164F425C-721B-40D9-920B-496F65E44DF4}</author>
    <author>tc={D6646DCD-C800-44E9-9165-FFA4C2BA62C8}</author>
    <author>tc={0DD16892-8672-45C7-A9AF-A1F526E9B63C}</author>
    <author>tc={14875D15-82C0-41BE-A7E3-52D6EC9E1642}</author>
    <author>tc={41AAE18D-79B6-42C2-818F-A64B78DD3EE4}</author>
    <author>tc={B3071A0E-E106-4D6B-A340-ACCB8B724C86}</author>
    <author>tc={C049205C-35A7-4566-A76C-6971D7BCC402}</author>
    <author>tc={78124437-CDE7-46A1-8699-F75AA4EE8CB2}</author>
    <author>tc={CA34E6D0-9B14-42A5-8E1F-AC86B7BA071D}</author>
    <author>tc={FA179057-A3EC-411C-B38E-CFEDA1E6BC6A}</author>
    <author>tc={A4BD95A1-3BDF-4857-A864-ED143E2DE8D3}</author>
    <author>tc={9ED691E6-0ED9-4C0C-A835-5048FF605E73}</author>
  </authors>
  <commentList>
    <comment ref="R11" authorId="0" shapeId="0" xr:uid="{C71CA411-E414-4537-8C61-6C773D298432}">
      <text>
        <t>[Threaded comment]
Your version of Excel allows you to read this threaded comment; however, any edits to it will get removed if the file is opened in a newer version of Excel. Learn more: https://go.microsoft.com/fwlink/?linkid=870924
Comment:
    839    11.100.000</t>
      </text>
    </comment>
    <comment ref="R21" authorId="1" shapeId="0" xr:uid="{DF1D470D-CA37-40BA-B421-8D4632A979B7}">
      <text>
        <t>[Threaded comment]
Your version of Excel allows you to read this threaded comment; however, any edits to it will get removed if the file is opened in a newer version of Excel. Learn more: https://go.microsoft.com/fwlink/?linkid=870924
Comment:
    PP    VALOR 
790    14.800.000</t>
      </text>
    </comment>
    <comment ref="R26" authorId="2" shapeId="0" xr:uid="{B59A3209-A4FE-4078-8373-DA98B0087BF9}">
      <text>
        <t>[Threaded comment]
Your version of Excel allows you to read this threaded comment; however, any edits to it will get removed if the file is opened in a newer version of Excel. Learn more: https://go.microsoft.com/fwlink/?linkid=870924
Comment:
    PP     VALOR 
827     16.000.000</t>
      </text>
    </comment>
    <comment ref="R27" authorId="3" shapeId="0" xr:uid="{9706F64A-AF27-43FB-B338-FAA1AB6DAE5C}">
      <text>
        <t>[Threaded comment]
Your version of Excel allows you to read this threaded comment; however, any edits to it will get removed if the file is opened in a newer version of Excel. Learn more: https://go.microsoft.com/fwlink/?linkid=870924
Comment:
    792      14.800.000</t>
      </text>
    </comment>
    <comment ref="R30" authorId="4" shapeId="0" xr:uid="{03E48DA9-B0B4-4691-B976-E7488CE74982}">
      <text>
        <t>[Threaded comment]
Your version of Excel allows you to read this threaded comment; however, any edits to it will get removed if the file is opened in a newer version of Excel. Learn more: https://go.microsoft.com/fwlink/?linkid=870924
Comment:
    PP     VALOR 
833   12.000.000</t>
      </text>
    </comment>
    <comment ref="R32" authorId="5" shapeId="0" xr:uid="{5FD2EC19-F5CC-44AA-9529-36F3ADDA21F1}">
      <text>
        <t>[Threaded comment]
Your version of Excel allows you to read this threaded comment; however, any edits to it will get removed if the file is opened in a newer version of Excel. Learn more: https://go.microsoft.com/fwlink/?linkid=870924
Comment:
    PP            VALOR
1281     16.000.000</t>
      </text>
    </comment>
    <comment ref="Q34" authorId="6" shapeId="0" xr:uid="{8ECB9D84-4CDF-41FC-851E-82C979092D2C}">
      <text>
        <t>[Threaded comment]
Your version of Excel allows you to read this threaded comment; however, any edits to it will get removed if the file is opened in a newer version of Excel. Learn more: https://go.microsoft.com/fwlink/?linkid=870924
Comment:
    Contracredito según Decreto 006 $604.981.944</t>
      </text>
    </comment>
    <comment ref="Q35" authorId="7" shapeId="0" xr:uid="{6B85218B-FCB1-4971-8C0A-9504EF274103}">
      <text>
        <t>[Threaded comment]
Your version of Excel allows you to read this threaded comment; however, any edits to it will get removed if the file is opened in a newer version of Excel. Learn more: https://go.microsoft.com/fwlink/?linkid=870924
Comment:
    Credito según Decreto 006 $604.981.944
Redución según Decreto 0014 7-1-2026 $19.145.893</t>
      </text>
    </comment>
    <comment ref="R41" authorId="8" shapeId="0" xr:uid="{48097F88-8DC7-420A-B579-A862A3F8F8CC}">
      <text>
        <t>[Threaded comment]
Your version of Excel allows you to read this threaded comment; however, any edits to it will get removed if the file is opened in a newer version of Excel. Learn more: https://go.microsoft.com/fwlink/?linkid=870924
Comment:
    PP          VALOR
808     16.000.000</t>
      </text>
    </comment>
    <comment ref="R42" authorId="9" shapeId="0" xr:uid="{FE6E951B-05DE-4F98-B5E9-0CD685F56AAD}">
      <text>
        <t>[Threaded comment]
Your version of Excel allows you to read this threaded comment; however, any edits to it will get removed if the file is opened in a newer version of Excel. Learn more: https://go.microsoft.com/fwlink/?linkid=870924
Comment:
    PP    VALOR 
798    16.000.000
843     14.800.000</t>
      </text>
    </comment>
    <comment ref="T43" authorId="10" shapeId="0" xr:uid="{EA67C263-92D7-4206-BEDF-950BAFF84541}">
      <text>
        <t>[Threaded comment]
Your version of Excel allows you to read this threaded comment; however, any edits to it will get removed if the file is opened in a newer version of Excel. Learn more: https://go.microsoft.com/fwlink/?linkid=870924
Comment:
    AJUSTE PENDIENTE POR REALIZAR</t>
      </text>
    </comment>
    <comment ref="Q44" authorId="11" shapeId="0" xr:uid="{149E898D-D763-4A8D-8945-58CE139C78B8}">
      <text>
        <t>[Threaded comment]
Your version of Excel allows you to read this threaded comment; however, any edits to it will get removed if the file is opened in a newer version of Excel. Learn more: https://go.microsoft.com/fwlink/?linkid=870924
Comment:
    Contacredito según Decreto  006 $15.172.076.484</t>
      </text>
    </comment>
    <comment ref="Q45" authorId="12" shapeId="0" xr:uid="{8FC316AA-7095-44C4-B6EE-B6B8D78BC077}">
      <text>
        <t>[Threaded comment]
Your version of Excel allows you to read this threaded comment; however, any edits to it will get removed if the file is opened in a newer version of Excel. Learn more: https://go.microsoft.com/fwlink/?linkid=870924
Comment:
    credito según Decreto  006 $15.172.076.484
Adición según Decreto 0014 06-0-2026 $9.102.444.812</t>
      </text>
    </comment>
    <comment ref="R45" authorId="13" shapeId="0" xr:uid="{3BBEDF89-62EB-4A22-84D0-BB58CA1F1622}">
      <text>
        <t>[Threaded comment]
Your version of Excel allows you to read this threaded comment; however, any edits to it will get removed if the file is opened in a newer version of Excel. Learn more: https://go.microsoft.com/fwlink/?linkid=870924
Comment:
    PP     VALOR 
138   21.662.513.384,71</t>
      </text>
    </comment>
    <comment ref="Q46" authorId="14" shapeId="0" xr:uid="{3E0E8ECB-B7B3-4C01-A5B9-DADA12EC6F85}">
      <text>
        <t>[Threaded comment]
Your version of Excel allows you to read this threaded comment; however, any edits to it will get removed if the file is opened in a newer version of Excel. Learn more: https://go.microsoft.com/fwlink/?linkid=870924
Comment:
    Contacredito según Decreto  006 $850.000.000</t>
      </text>
    </comment>
    <comment ref="Q47" authorId="15" shapeId="0" xr:uid="{92426529-0EF1-4254-B35E-3EAE341F965F}">
      <text>
        <t>[Threaded comment]
Your version of Excel allows you to read this threaded comment; however, any edits to it will get removed if the file is opened in a newer version of Excel. Learn more: https://go.microsoft.com/fwlink/?linkid=870924
Comment:
    credito según Decreto  006 $850.000.000</t>
      </text>
    </comment>
    <comment ref="R47" authorId="16" shapeId="0" xr:uid="{CFDFDF57-BE7B-4B2D-8779-AAC4DB966085}">
      <text>
        <t>[Threaded comment]
Your version of Excel allows you to read this threaded comment; however, any edits to it will get removed if the file is opened in a newer version of Excel. Learn more: https://go.microsoft.com/fwlink/?linkid=870924
Comment:
    PP    VALOR 
1171    14.800.000
1185    14.800.000
1231    14.800.000
1184    14.800.000
997      14.800.000
1224    14.800.000
Reply:
    1155         14.800.000
1201      14.800.000
1207      14.800.000
1202      12.000.000
1209       16.000.000
Reply:
    1214         14.800.000
1198     14.800.000
1173     14.800.000
1177     14.800.000
1285      16.000.000
1229      14.800.000
1208      14.800.000
Reply:
    1174     14.800.000
1180     12.000.000
Reply:
    1232      12.000.000
1224     14.800.000
1401      14.800.000</t>
      </text>
    </comment>
    <comment ref="R48" authorId="17" shapeId="0" xr:uid="{8259DB41-9491-4C32-8C42-C87D212551E8}">
      <text>
        <t>[Threaded comment]
Your version of Excel allows you to read this threaded comment; however, any edits to it will get removed if the file is opened in a newer version of Excel. Learn more: https://go.microsoft.com/fwlink/?linkid=870924
Comment:
    PP          VLR
221    179.315.709</t>
      </text>
    </comment>
    <comment ref="Q60" authorId="18" shapeId="0" xr:uid="{C284FEC0-68B3-4EA2-B9B7-C50EBD8F9DAB}">
      <text>
        <t>[Threaded comment]
Your version of Excel allows you to read this threaded comment; however, any edits to it will get removed if the file is opened in a newer version of Excel. Learn more: https://go.microsoft.com/fwlink/?linkid=870924
Comment:
    Contacredito según Decreto  006 $858.735.523,30</t>
      </text>
    </comment>
    <comment ref="Q61" authorId="19" shapeId="0" xr:uid="{B9B92F86-5A1D-46BC-A3C7-809B9A5EA255}">
      <text>
        <t>[Threaded comment]
Your version of Excel allows you to read this threaded comment; however, any edits to it will get removed if the file is opened in a newer version of Excel. Learn more: https://go.microsoft.com/fwlink/?linkid=870924
Comment:
    credito según Decreto  006 $858.735.523,30
Adición según Decreto 0014 06-0-2026 $752.199.134.70</t>
      </text>
    </comment>
    <comment ref="R61" authorId="20" shapeId="0" xr:uid="{CC407E2C-45DA-4C56-A7E0-80FB67BB66ED}">
      <text>
        <t>[Threaded comment]
Your version of Excel allows you to read this threaded comment; however, any edits to it will get removed if the file is opened in a newer version of Excel. Learn more: https://go.microsoft.com/fwlink/?linkid=870924
Comment:
    PP         VLR
1139    14.800.000
1137    14.800.000
1134    14.800.000
1133    14.800.000
1136    14.800.000
1138    14.800.000
1130    17.200.000
1129    14.800.000
1156    14.800.000
1152    14.800.000
1167    14.800.000 
1206    14.800.000 
1191    14.800.000
Reply:
    1131     17.200.000
1132     14.800.000
994       17.200.000
1222      14.800.000
Reply:
    1157          14.800.000
1166     14.800.000
1162       14.800.000
1163       14.800.000
1164     14.800.000
1158      14.800.000
1147       14.800.000
1181        14.800.000
1186         14.800.000
Reply:
    1196             14.800.000
1204      14.800.000
1193     14.800.000</t>
      </text>
    </comment>
    <comment ref="Q62" authorId="21" shapeId="0" xr:uid="{1E29F20B-F1F9-4868-9D7E-DA78810E6F6F}">
      <text>
        <t>[Threaded comment]
Your version of Excel allows you to read this threaded comment; however, any edits to it will get removed if the file is opened in a newer version of Excel. Learn more: https://go.microsoft.com/fwlink/?linkid=870924
Comment:
    Contacredito según Decreto  006 $ 300.000.000</t>
      </text>
    </comment>
    <comment ref="Q63" authorId="22" shapeId="0" xr:uid="{9B5E84F9-9947-44A9-A014-1E8D84238DA6}">
      <text>
        <t>[Threaded comment]
Your version of Excel allows you to read this threaded comment; however, any edits to it will get removed if the file is opened in a newer version of Excel. Learn more: https://go.microsoft.com/fwlink/?linkid=870924
Comment:
    credito según Decreto  006 $ 300.000.000</t>
      </text>
    </comment>
    <comment ref="R63" authorId="23" shapeId="0" xr:uid="{B57E1EDA-C7DB-4BF3-8035-209FFDAE69E0}">
      <text>
        <t>[Threaded comment]
Your version of Excel allows you to read this threaded comment; however, any edits to it will get removed if the file is opened in a newer version of Excel. Learn more: https://go.microsoft.com/fwlink/?linkid=870924
Comment:
    PP             VALOR
1326          14.800.000
1321          14.800.000
Reply:
    1325         14.800.000
1323         14.800.000
1328         14.800.000
1292         15.600.000
1320       14.800.000</t>
      </text>
    </comment>
    <comment ref="R64" authorId="24" shapeId="0" xr:uid="{68FBB19C-1193-47BA-8C71-B83988EB1B04}">
      <text>
        <t>[Threaded comment]
Your version of Excel allows you to read this threaded comment; however, any edits to it will get removed if the file is opened in a newer version of Excel. Learn more: https://go.microsoft.com/fwlink/?linkid=870924
Comment:
    PP       VALOR
488      14.800.000
818      14.800.000
836      14.800.000</t>
      </text>
    </comment>
    <comment ref="R65" authorId="25" shapeId="0" xr:uid="{5CAF121C-9D52-4562-8EBD-200BD981E0A4}">
      <text>
        <t>[Threaded comment]
Your version of Excel allows you to read this threaded comment; however, any edits to it will get removed if the file is opened in a newer version of Excel. Learn more: https://go.microsoft.com/fwlink/?linkid=870924
Comment:
    PP      VALOR 
728     14.800.000</t>
      </text>
    </comment>
    <comment ref="T67" authorId="26" shapeId="0" xr:uid="{0E0846AB-5707-4A05-95EE-3D76B9FC85C8}">
      <text>
        <t>[Threaded comment]
Your version of Excel allows you to read this threaded comment; however, any edits to it will get removed if the file is opened in a newer version of Excel. Learn more: https://go.microsoft.com/fwlink/?linkid=870924
Comment:
    AJUSTE PENDIENTE POR REALIZAR</t>
      </text>
    </comment>
    <comment ref="Q68" authorId="27" shapeId="0" xr:uid="{164F425C-721B-40D9-920B-496F65E44DF4}">
      <text>
        <t>[Threaded comment]
Your version of Excel allows you to read this threaded comment; however, any edits to it will get removed if the file is opened in a newer version of Excel. Learn more: https://go.microsoft.com/fwlink/?linkid=870924
Comment:
    Contacredito según Decreto  006 $350.917.900</t>
      </text>
    </comment>
    <comment ref="Q69" authorId="28" shapeId="0" xr:uid="{D6646DCD-C800-44E9-9165-FFA4C2BA62C8}">
      <text>
        <t>[Threaded comment]
Your version of Excel allows you to read this threaded comment; however, any edits to it will get removed if the file is opened in a newer version of Excel. Learn more: https://go.microsoft.com/fwlink/?linkid=870924
Comment:
    credito según Decreto  006 $350.917.900</t>
      </text>
    </comment>
    <comment ref="Q70" authorId="29" shapeId="0" xr:uid="{0DD16892-8672-45C7-A9AF-A1F526E9B63C}">
      <text>
        <t>[Threaded comment]
Your version of Excel allows you to read this threaded comment; however, any edits to it will get removed if the file is opened in a newer version of Excel. Learn more: https://go.microsoft.com/fwlink/?linkid=870924
Comment:
    Contacredito según Decreto  006 $13.000.000</t>
      </text>
    </comment>
    <comment ref="Q71" authorId="30" shapeId="0" xr:uid="{14875D15-82C0-41BE-A7E3-52D6EC9E1642}">
      <text>
        <t>[Threaded comment]
Your version of Excel allows you to read this threaded comment; however, any edits to it will get removed if the file is opened in a newer version of Excel. Learn more: https://go.microsoft.com/fwlink/?linkid=870924
Comment:
    credito según Decreto  006 $13.000.000
Redución según Decreto 0014 06-01-2026 $6.330.146</t>
      </text>
    </comment>
    <comment ref="R72" authorId="31" shapeId="0" xr:uid="{41AAE18D-79B6-42C2-818F-A64B78DD3EE4}">
      <text>
        <t>[Threaded comment]
Your version of Excel allows you to read this threaded comment; however, any edits to it will get removed if the file is opened in a newer version of Excel. Learn more: https://go.microsoft.com/fwlink/?linkid=870924
Comment:
    PP         VALOR
876      14.800.000
805       14.800.000
799     14.800.000</t>
      </text>
    </comment>
    <comment ref="Q73" authorId="32" shapeId="0" xr:uid="{B3071A0E-E106-4D6B-A340-ACCB8B724C86}">
      <text>
        <t>[Threaded comment]
Your version of Excel allows you to read this threaded comment; however, any edits to it will get removed if the file is opened in a newer version of Excel. Learn more: https://go.microsoft.com/fwlink/?linkid=870924
Comment:
    Contacredito según Decreto  006 $60.000.000</t>
      </text>
    </comment>
    <comment ref="Q74" authorId="33" shapeId="0" xr:uid="{C049205C-35A7-4566-A76C-6971D7BCC402}">
      <text>
        <t>[Threaded comment]
Your version of Excel allows you to read this threaded comment; however, any edits to it will get removed if the file is opened in a newer version of Excel. Learn more: https://go.microsoft.com/fwlink/?linkid=870924
Comment:
    credito según Decreto  006 $60.000.000
Redución según Decreto 0014 06-01-2026 $ 8.021.482</t>
      </text>
    </comment>
    <comment ref="R75" authorId="34" shapeId="0" xr:uid="{78124437-CDE7-46A1-8699-F75AA4EE8CB2}">
      <text>
        <t>[Threaded comment]
Your version of Excel allows you to read this threaded comment; however, any edits to it will get removed if the file is opened in a newer version of Excel. Learn more: https://go.microsoft.com/fwlink/?linkid=870924
Comment:
        PP       VALOR
189         4.079.206.933</t>
      </text>
    </comment>
    <comment ref="R76" authorId="35" shapeId="0" xr:uid="{CA34E6D0-9B14-42A5-8E1F-AC86B7BA071D}">
      <text>
        <t>[Threaded comment]
Your version of Excel allows you to read this threaded comment; however, any edits to it will get removed if the file is opened in a newer version of Excel. Learn more: https://go.microsoft.com/fwlink/?linkid=870924
Comment:
    PP    VALOR 
159    266.210.662
390     1.298.000.000</t>
      </text>
    </comment>
    <comment ref="R81" authorId="36" shapeId="0" xr:uid="{FA179057-A3EC-411C-B38E-CFEDA1E6BC6A}">
      <text>
        <t>[Threaded comment]
Your version of Excel allows you to read this threaded comment; however, any edits to it will get removed if the file is opened in a newer version of Excel. Learn more: https://go.microsoft.com/fwlink/?linkid=870924
Comment:
    PP         VLR
129    2.466.667
130    2.600.000
132     2.666.667
Reply:
    131  2.466.666
128    2.666.667
133    2.666.667</t>
      </text>
    </comment>
    <comment ref="R102" authorId="37" shapeId="0" xr:uid="{A4BD95A1-3BDF-4857-A864-ED143E2DE8D3}">
      <text>
        <t>[Threaded comment]
Your version of Excel allows you to read this threaded comment; however, any edits to it will get removed if the file is opened in a newer version of Excel. Learn more: https://go.microsoft.com/fwlink/?linkid=870924
Comment:
    PP     VALOR 
86    63.691.514</t>
      </text>
    </comment>
    <comment ref="R124" authorId="38" shapeId="0" xr:uid="{9ED691E6-0ED9-4C0C-A835-5048FF605E73}">
      <text>
        <t>[Threaded comment]
Your version of Excel allows you to read this threaded comment; however, any edits to it will get removed if the file is opened in a newer version of Excel. Learn more: https://go.microsoft.com/fwlink/?linkid=870924
Comment:
    PP        VALOR
1314    137.091.859
1311    250.759.690
Reply:
    1318         147.029.928
Reply:
    1315       121.123.333</t>
      </text>
    </comment>
  </commentList>
</comments>
</file>

<file path=xl/sharedStrings.xml><?xml version="1.0" encoding="utf-8"?>
<sst xmlns="http://schemas.openxmlformats.org/spreadsheetml/2006/main" count="12661" uniqueCount="2877">
  <si>
    <t xml:space="preserve">FORMATO </t>
  </si>
  <si>
    <t>PROGRAMACIÓN PLAN DE ACCIÓN 
SECRETARÍA:           AÑO:  2026</t>
  </si>
  <si>
    <t xml:space="preserve">CODIGO:  </t>
  </si>
  <si>
    <t xml:space="preserve">F-PLA-06   </t>
  </si>
  <si>
    <t xml:space="preserve">VERSIÓN: </t>
  </si>
  <si>
    <t xml:space="preserve">FECHA: </t>
  </si>
  <si>
    <t>PLAN DE DESARROLLO DEPARTAMENTAL 2024-2027:   "POR Y PARA LA GENTE"</t>
  </si>
  <si>
    <t>PÁGINA:</t>
  </si>
  <si>
    <t xml:space="preserve"> 1 de 1</t>
  </si>
  <si>
    <t>LINEA ESTRATÉGICA</t>
  </si>
  <si>
    <t>SECTOR</t>
  </si>
  <si>
    <t>PROGRAMA</t>
  </si>
  <si>
    <t>META PRODUCTO</t>
  </si>
  <si>
    <t>INDICADOR PRODUCTO</t>
  </si>
  <si>
    <t>META FÍSICA</t>
  </si>
  <si>
    <t>PROYECTO</t>
  </si>
  <si>
    <t>POBLACIÓN</t>
  </si>
  <si>
    <t>FECHA DE INICIO   (dd/mm/aaaa)</t>
  </si>
  <si>
    <t>FECHA DE TERMINACIÓN    (dd/mm/aaaa)</t>
  </si>
  <si>
    <t>RESPONSABLE  DEL PROYECTO (Cargo)</t>
  </si>
  <si>
    <t>FUENTE DE RECURSOS</t>
  </si>
  <si>
    <t>GENERO</t>
  </si>
  <si>
    <t>DISTRIBUCIÓN ETÁREA (EDAD)</t>
  </si>
  <si>
    <t xml:space="preserve">GRUPOS ÉTNICOS </t>
  </si>
  <si>
    <t xml:space="preserve">POBLACIÓN VULNERABLE </t>
  </si>
  <si>
    <t>TOTAL</t>
  </si>
  <si>
    <t xml:space="preserve">CÓDIGO </t>
  </si>
  <si>
    <t xml:space="preserve">NOMBRE </t>
  </si>
  <si>
    <t>CODIGO</t>
  </si>
  <si>
    <t>NOMBRE</t>
  </si>
  <si>
    <t xml:space="preserve">CÓDIGO  </t>
  </si>
  <si>
    <t xml:space="preserve">NOMBRE  </t>
  </si>
  <si>
    <t>PROGRAMADA VIGENCIA</t>
  </si>
  <si>
    <t>REPROGRAMACIÓN</t>
  </si>
  <si>
    <t>CODIGO BPIN</t>
  </si>
  <si>
    <t xml:space="preserve">NOMBRE PROYECTO </t>
  </si>
  <si>
    <t>ACTIVIDADES CUANTIFICADAS</t>
  </si>
  <si>
    <t>VALOR ACTIVIDAD
(EN PESOS )</t>
  </si>
  <si>
    <t>CERTIFICADOS BANCOS EXPEDIDOS</t>
  </si>
  <si>
    <t>CERTIFICADOS BANCOS LIBERADOS Y ANULADOS</t>
  </si>
  <si>
    <t xml:space="preserve">AJUSTES PENDIENTES A REALIZAR </t>
  </si>
  <si>
    <t>SALDO DISPONIBLE</t>
  </si>
  <si>
    <t xml:space="preserve">RUBRO PRESUPUESTAL </t>
  </si>
  <si>
    <t>MUJER</t>
  </si>
  <si>
    <t>HOMBRE</t>
  </si>
  <si>
    <t>Edad Escolar 
(0 - 14 años)</t>
  </si>
  <si>
    <t>Adolescencia
 (15 - 19 años)</t>
  </si>
  <si>
    <t>Edad Económicamente Activa (20-59 años)</t>
  </si>
  <si>
    <t>Adultos Mayores (Mayores a 60 años)</t>
  </si>
  <si>
    <t>Indígena</t>
  </si>
  <si>
    <t>Afrocolombiano</t>
  </si>
  <si>
    <t>Raizal</t>
  </si>
  <si>
    <t>Rom</t>
  </si>
  <si>
    <t xml:space="preserve">Mestiza </t>
  </si>
  <si>
    <t>palenqueras</t>
  </si>
  <si>
    <t xml:space="preserve">Desplazados </t>
  </si>
  <si>
    <t xml:space="preserve">Discapacitados </t>
  </si>
  <si>
    <t xml:space="preserve">Victimas </t>
  </si>
  <si>
    <t xml:space="preserve">Gobernabilidad, Fortalecimiento Institucional y Seguridad. “Quindío territorio seguro y confiable” </t>
  </si>
  <si>
    <t>Gobierno Territorial</t>
  </si>
  <si>
    <t>Fortalecimiento a la gestión y dirección de la administración pública territorial</t>
  </si>
  <si>
    <t>4599023</t>
  </si>
  <si>
    <t>Servicio de Implementación Sistemas de Gestión</t>
  </si>
  <si>
    <t>Sistema de Gestión implementado</t>
  </si>
  <si>
    <t>Implementación del Modelo Integrado de Planeación y Gestión MIPG de la Administración Departamental del Quindío en sus dimensiones de Talento Humano, Información y Comunicación y Gestión del conocimiento para alcanzar mejores resultados en el desempeño institucional del Gobierno del Quindio</t>
  </si>
  <si>
    <t>ADM-1-2026 Desarrollar estrategias que permitan la implementación de la Politica de Gestión del Conocimiento y la Innovación que permitan capturar, clasificar y organizar el conocimiento de la Entidad.</t>
  </si>
  <si>
    <t>0304 - 2.3.2.02.02.009.00.00.00.4599023.24006 - 20</t>
  </si>
  <si>
    <t>RECURSO ORDINARIO</t>
  </si>
  <si>
    <t>Secretario Administrativo</t>
  </si>
  <si>
    <t>ADM-2-2026 Realizar la construcción e implementación de las iniciativas que propendan al Bienestar de los Funcionarios de la Administración Departamental a traves de los planes de acción de Bienestar, Capacitación y Seguridad y Salud en el Trabajo , de acuerdo a los lineamientos de la Dimensión de Talento Humano.</t>
  </si>
  <si>
    <t>ADM-3-2026 Ejecutar las actividades establecidas en la Politica de Integridad y Politica de Transparencia, acceso a la Información pública y Lucha contra la Corrucción mediante el desarrollo de Planes de acción enmarcados en el Gobierno Departamental.</t>
  </si>
  <si>
    <t>ADM-4-2026 Desarrollar las actividades de los diferentes Planes Institucionales relacionados con el Talento Humano y la Gestión Administrativa del Gobierno Departamental propiciando una entidad eficiente y competente.</t>
  </si>
  <si>
    <t>Servicio de saneamiento fiscal y financiero</t>
  </si>
  <si>
    <t>Programa de saneamiento fiscal y financiero ejecutado</t>
  </si>
  <si>
    <t>Actualización, depuración, seguimiento y evaluación del pasivo pensional del Gobierno Departamental del Quindío</t>
  </si>
  <si>
    <t>ADM-5-2026 Diseñar y establecer las bases que se van a implementar en el Fondo Territorial de Pensiones con el fin de contar con la información depurada y real</t>
  </si>
  <si>
    <t>0304 - 2.3.2.02.02.009.00.00.00.4599002.24009 - 20</t>
  </si>
  <si>
    <t>ADM-6-2026 Depurar los expedientes administrativos que reposan en el Fondo Territorial de Pensiones</t>
  </si>
  <si>
    <t>ADM-7-2026 Adelantar acciones para determinar qué cuotas partes estan a favor o a cargo del Ente Territorial</t>
  </si>
  <si>
    <t>0304 - 2.3.2.02.02.009.00.00.00.4599002.24009- 20</t>
  </si>
  <si>
    <t xml:space="preserve"> Fortalecimiento a la gestión y dirección de la administración pública territorial </t>
  </si>
  <si>
    <t xml:space="preserve">Servicio de gestión documental actualizado </t>
  </si>
  <si>
    <t xml:space="preserve">Sistema de gestión documental actualizado </t>
  </si>
  <si>
    <t>Fortalecimiento del sistema de gestión documental mediante la modernización archivistica, locativa y tecnológica para garantizar el acceso a la información oportuna y eficiente en el Departamento del Quindío.</t>
  </si>
  <si>
    <t>ADM-8-2026 Desarrollar actividades administrativas y operativas que permitan la actualzación de los procesos de gestión documental y la adecuación locativa y tecnologica para la modernización del sistema Archivistico y Documental del Departamento</t>
  </si>
  <si>
    <t>0304 - 2.3.2.02.02.009.00.00.00.4599036.24008 - 20</t>
  </si>
  <si>
    <t xml:space="preserve">Fortalecimiento a la gestión y dirección de la administración pública territorial </t>
  </si>
  <si>
    <t>4599034</t>
  </si>
  <si>
    <t>Sedes dotadas</t>
  </si>
  <si>
    <t>459903400</t>
  </si>
  <si>
    <t>Implementación de un programa de modernización administrativa y locativa de bienes muebles e inmuebles a través del diagnóstico y fortalecimiento de la gestión institucional del Gobierno Departamental del Quindio</t>
  </si>
  <si>
    <t>ADM-9-2026 Realizar las acciones necesarias que permitan adelantar un diagnostico y estudio técnico del estado de los bienes inmuebles del Departamento que requieren de procesos de Modernización.</t>
  </si>
  <si>
    <t>0304 - 2.3.2.02.02.005.00.00.00.4599034.24131 - 20</t>
  </si>
  <si>
    <t>ADM-10-2026 Promover la implementación de las actividades que permitan la adecuación locativa de las sedes del Departamento a través de procesos de construcción y mejoramiento de espacios físicos que cuente con accesibilidad y adaptación tecnológica garantizando un mejor bienestar para el Talento Humano.</t>
  </si>
  <si>
    <t>ADM-11-2026 Ejecutar las actividades de suministro e insumos técnologicos y logisticos para la modernización de la Entidad que propendan a fomentar la cultura organizacional y ambiental por medio de acciones ecologicas y de organización dirigidas al Talento Humano.</t>
  </si>
  <si>
    <t>0304 - 2.3.2.01.01.003.03.01.00.4599034.24131 - 20</t>
  </si>
  <si>
    <t>ADM-12-2026 Desarrollar estrategias permitan adelantar la modernización de la entidad a traves de la dotación de los diferentes espacios fisicos de la Entidad, de manera sostenible y efectiva</t>
  </si>
  <si>
    <t>Fortalecimiento del buen gobierno para el respeto y garantía de los derechos humanos</t>
  </si>
  <si>
    <t>Servicio de integración de la oferta pública</t>
  </si>
  <si>
    <t>Espacios de integración de oferta pública generados</t>
  </si>
  <si>
    <t>Implementación del Sistema Departamental de Servicio a la Ciudadanía SDSC de manera participativa e incluyente en el gobierno del   Quindio</t>
  </si>
  <si>
    <t>ADM-13-2026 Realizar adecuaciones y mejoras de infraestructura física y tecnológica de servicio a la ciudadanía en el marco del cumplimiento al Plan de Acción del Sistema Departamental de Servicio a la Ciudadanía SDSC</t>
  </si>
  <si>
    <t>0304 - 2.3.2.02.02.005.00.00.00.4502033.24010 - 20</t>
  </si>
  <si>
    <t>450203300</t>
  </si>
  <si>
    <t xml:space="preserve">ADM-14-2026 Ejecutar las acciones en el marco del cumplimiento del Plan de Acción del Sistema Departamental de Servicio a la Ciudadanía SDSC </t>
  </si>
  <si>
    <t>0304 - 2.3.2.02.02.009.00.00.00.4502033.24010 - 20</t>
  </si>
  <si>
    <t>JOHAN SEBASTIAN CAÑON SOSA</t>
  </si>
  <si>
    <t>SECRETARIO DE DESPACHO</t>
  </si>
  <si>
    <t>Elaborado por:</t>
  </si>
  <si>
    <t>Revisado por:</t>
  </si>
  <si>
    <t>Aprobado por:</t>
  </si>
  <si>
    <t>Maria lucia Londoño Giraldo</t>
  </si>
  <si>
    <t>Sergio Yamit Quintero Castaño</t>
  </si>
  <si>
    <t>Luis Alberto Rincon Quintero</t>
  </si>
  <si>
    <t>Cargo: Profesional Universitario</t>
  </si>
  <si>
    <t>Cargo: Jefe de Proyectos y Cooperación</t>
  </si>
  <si>
    <t>Cargo: Secretario de Despacho</t>
  </si>
  <si>
    <t>PROGRAMACIÓN PLAN DE ACCIÓN 
SECRETARÍA:           AÑO:  2025</t>
  </si>
  <si>
    <t>Estrategia para el mejoramiento del Índice de Desempeño Fiscal ejecutada</t>
  </si>
  <si>
    <t>Implementación de estrategias de fortalecimiento del desempeño fiscal de la Administración departamental del Quindío</t>
  </si>
  <si>
    <t>HDA-1-2026 Impulsar los procesos de fiscalización, liquidación y cobro coactivo de las diferentes rentas y procesos administrativos a cargo del gobierno departamental. Así como el mejoramiento de las estrategias de fortalecimiento del desempeño fiscal de la administración departamental del Quindio.</t>
  </si>
  <si>
    <t>0307 - 2.3.2.02.01.003.00.00.00.4599002.24014 - 20</t>
  </si>
  <si>
    <t xml:space="preserve">Secretario de Hacienda y Finanzas Publicas 
</t>
  </si>
  <si>
    <t>HDA-2-2026 Impulsar los procesos de fiscalización, liquidación y cobro coactivo de las diferentes rentas y procesos administrativos a cargo del gobierno departamental. Así como el mejoramiento de las estrategias de fortalecimiento del desempeño fiscal de la administración departamental del Quindio.</t>
  </si>
  <si>
    <t>0307 - 2.3.2.02.01.004.00.00.00.4599002.24014 - 20</t>
  </si>
  <si>
    <t>HDA-3-2026 Impulsar los procesos de fiscalización, liquidación y cobro coactivo de las diferentes rentas y procesos administrativos a cargo del gobierno departamental. Así como el mejoramiento de las estrategias de fortalecimiento del desempeño fiscal de la administración departamental del Quindio.</t>
  </si>
  <si>
    <t>0307 - 2.3.2.02.02.006.00.00.00.4599002.24014 - 20</t>
  </si>
  <si>
    <t>HDA-4-2026 Impulsar los procesos de fiscalización, liquidación y cobro coactivo de las diferentes rentas y procesos administrativos a cargo del gobierno departamental. Así como el mejoramiento de las estrategias de fortalecimiento del desempeño fiscal de la administración departamental del Quindio.</t>
  </si>
  <si>
    <t>0307 - 2.3.2.02.02.008.00.00.00.4599002.24014 - 20</t>
  </si>
  <si>
    <t>HDA-5-2026 Impulsar los procesos de fiscalización, liquidación y cobro coactivo de las diferentes rentas y procesos administrativos a cargo del gobierno departamental. Así como el mejoramiento de las estrategias de fortalecimiento del desempeño fiscal de la administración departamental del Quindio.</t>
  </si>
  <si>
    <t>0307 - 2.3.2.02.02.008.00.00.00.4599002.24014 - 01</t>
  </si>
  <si>
    <t>01</t>
  </si>
  <si>
    <t>IMPUESTO AL REGISTRO 20%</t>
  </si>
  <si>
    <t>HDA-6-2026 Impulsar los procesos de fiscalización, liquidación y cobro coactivo de las diferentes rentas y procesos administrativos a cargo del gobierno departamental. Así como el mejoramiento de las estrategias de fortalecimiento del desempeño fiscal de la administración departamental del Quindio.</t>
  </si>
  <si>
    <t>0307 - 2.3.2.02.02.009.00.00.00.4599002.24014 - 20</t>
  </si>
  <si>
    <t>HDA-7-2026 Impulsar los procesos de fiscalización, liquidación y cobro coactivo de las diferentes rentas y procesos administrativos a cargo del gobierno departamental. Así como el mejoramiento de las estrategias de fortalecimiento del desempeño fiscal de la administración departamental del Quindio.</t>
  </si>
  <si>
    <t>0307 - 2.3.2.02.02.009.00.00.00.4599002.24014 - 01</t>
  </si>
  <si>
    <t>HDA-8-2026 Ejecutar acciones tendientes a combatir el contrabando de licores, cervezas y cigarrillos en el Departamento del Quindío.</t>
  </si>
  <si>
    <t>0307 - 2.3.2.01.01.003.03.02.00.4599002.24014 - 56</t>
  </si>
  <si>
    <t xml:space="preserve">COFINANCIACION CONVENIOS INTERADMINISTRATIVOS </t>
  </si>
  <si>
    <t>HDA-9-2026 Ejecutar acciones tendientes a combatir el contrabando de licores, cervezas y cigarrillos en el Departamento del Quindío.</t>
  </si>
  <si>
    <t>0307 - 2.3.2.02.01.002.00.00.00.4599002.24014 - 56</t>
  </si>
  <si>
    <t>HDA-10-2026 Ejecutar acciones tendientes a combatir el contrabando de licores, cervezas y cigarrillos en el Departamento del Quindío.</t>
  </si>
  <si>
    <t>0307 - 2.3.2.02.01.003.00.00.00.4599002.24014 - 56</t>
  </si>
  <si>
    <t>HDA-11-2026 Ejecutar acciones tendientes a combatir el contrabando de licores, cervezas y cigarrillos en el Departamento del Quindío.</t>
  </si>
  <si>
    <t>0307 - 2.3.2.02.02.006.00.00.00.4599002.24014 - 56</t>
  </si>
  <si>
    <t>HDA-12-2026 Ejecutar acciones tendientes a combatir el contrabando de licores, cervezas y cigarrillos en el Departamento del Quindío.</t>
  </si>
  <si>
    <t>0307 - 2.3.2.02.02.009.00.00.00.4599002.24014 - 56</t>
  </si>
  <si>
    <t>HDA-13-2026 Ejecutar acciones tendientes a combatir el contrabando de licores, cervezas y cigarrillos en el Departamento del Quindío.</t>
  </si>
  <si>
    <t>0307 - 2.3.2.01.01.004.01.01.04.4599002.24014 - 56</t>
  </si>
  <si>
    <t>HDA-14-2026 Ejecutar acciones tendientes a combatir el contrabando de licores, cervezas y cigarrillos en el Departamento del Quindío.</t>
  </si>
  <si>
    <t>0307 - 2.3.2.01.01.003.05.04.00.4599002.24014 - 56</t>
  </si>
  <si>
    <t>HDA-15-2026 Fortalecimiento mediante equipos tecnológicos para el mejoramiento del Índice de Desempeño Fiscal ejecutada</t>
  </si>
  <si>
    <t xml:space="preserve">0307 - 2.3.2.01.01.003.03.02.00.4599002.24014 - 20 </t>
  </si>
  <si>
    <t>HDA-16-2026 Gestionar el sistema financiero, consolidando los sistemas de información y optimizando los procesos en el área de tesorería, presupuesto y contabilidad para el fortalecimiento del desempeño fiscal en el Departamento del Quindío.</t>
  </si>
  <si>
    <t>HDA-17-2026 Gestionar el sistema financiero, consolidando los sistemas de información y optimizando los procesos en el área de tesorería, presupuesto y contabilidad para el fortalecimiento del desempeño fiscal en el Departamento del Quindío.</t>
  </si>
  <si>
    <t>HDA-18-2026 Gestionar el sistema financiero, consolidando los sistemas de información y optimizando los procesos en el área de tesorería, presupuesto y contabilidad para el fortalecimiento del desempeño fiscal en el Departamento del Quindío.</t>
  </si>
  <si>
    <t>HDA-19-2026 Gestionar el sistema financiero, consolidando los sistemas de información y optimizando los procesos en el área de tesorería, presupuesto y contabilidad para el fortalecimiento del desempeño fiscal en el Departamento del Quindío.</t>
  </si>
  <si>
    <t xml:space="preserve">HDA-20-2026 Evaluar la capacidad de endeudamiento del Departamento del Quindío como estrategia, para optimizar el Índice de desempeño fiscal. </t>
  </si>
  <si>
    <t>BEATRIZ EUGENIA LONDOÑO GIRALDO</t>
  </si>
  <si>
    <t>PROGRAMACIÓN PLAN DE ACCIÓN 
SECRETARÍA: DE PLANEACIÓN          AÑO:  2026</t>
  </si>
  <si>
    <t xml:space="preserve">Gobierno Territorial </t>
  </si>
  <si>
    <t>Servicio de asistencia técnica</t>
  </si>
  <si>
    <t>Dependencias asistidas técnicamente</t>
  </si>
  <si>
    <t xml:space="preserve">
Implementación del Banco de Programas y Proyectos en la administración del departamento del Quindío</t>
  </si>
  <si>
    <t>PLA-1-2026 Apoyo y acompañamiento en la estructuración, formulación y revisión técnica (documento técnico de soporte, presupuesto, Metodología General Ajustada, requisitos generales para la viabilización, estudios y diseños, diagnósticos, especificaciones técnicas y demás documentos soportes), viabilidad, priorización, y aprobación de proyectos nuevos y ajustes, de proyectos susceptibles de ser financiados con recursos del Sistema General de Regalías SGR, apoyo a los procesos de revisión, verificación de cumplimiento de requisitos generales y acompañamiento a los proyectos presentados por formuladores ciudadanos u oficiales, susceptibles de ser financiados con recursos del orden departamental, regional, nacional e internacional.</t>
  </si>
  <si>
    <t>0305 - 2.3.2.02.02.009.00.00.00.4599031.24035 - 20</t>
  </si>
  <si>
    <t>Recurso Ordinario</t>
  </si>
  <si>
    <t xml:space="preserve">Secretario de Planeación Departamental </t>
  </si>
  <si>
    <t>PLA-2-2026 Apoyo en la gestión técnica, registro y seguimiento en las plataformas del Sistema General de Regalías (SUIFP-SGR, GESPROY y SPGR) e informes requeridos por las instancias de seguimiento y control, acompañamiento a los ejercicios de planeación conforme a la normatividad vigente.</t>
  </si>
  <si>
    <t>PLA-3-2026 Apoyo técnico para la formulación y estructuración de proyectos de inversión del orden departamental, la incorporación y diligenciamiento de información a través de las plataformas de la Metodología General Ajustada MGA WEB y PIIP, además, acompañamiento en el reporte de avance del Modelo Integrado de Seguimiento (MIS), realizar actividades de control, seguimiento, diligenciamiento de fichas de cierre parcial o total con los proyectos de inversión de acuerdo al Plan de Desarrollo 2024-2027, cumpliendo con la normatividad vigente y las directrices del Departamento Nacional de Planeación (DNP).</t>
  </si>
  <si>
    <t>PLA-4-2026 Apoyo y asistencia técnica a las unidades ejecutoras en la realización de modificaciones y ajustes a los proyectos de inversión registrados y viabilizados para la vigencia 2026, de acuerdo a los formatos y directrices del Manual Operativo del Banco de Programas y Proyectos del Departamento y su actualización en las  plataformas dispuestas por el DNP.</t>
  </si>
  <si>
    <t>PLA-5-2026 Apoyo en el seguimiento, generación de informes y actualización de los instrumentos de planificación conforme al avance y/o modificaciones presupuestales que generen cambios en los proyectos de inversión.</t>
  </si>
  <si>
    <t>PLA-6-2026 Capacitación y asistencia técnica a las unidades ejecutoras de la administración departamental en, normatividad, formulación, estructuración metodológica, ajustes, teoría de proyectos, gestión presupuestal de la inversión pública, herramientas informáticas que soportan el ciclo de la inversión: MGA, MIS, PIIP, y el mecanismo de obras por impuestos.</t>
  </si>
  <si>
    <t>PLA-7-2026 Apoyar los procesos de proyección, elaboración, revisión y análisis de actos administrativos, informes, certificados, derechos de petición, y demás documentos y solicitudes relacionadas con la inversión pública, los componentes legales y financieros de los proyectos de inversión.</t>
  </si>
  <si>
    <t>Programas asistidos técnicamente</t>
  </si>
  <si>
    <t>Fortalecimiento de los procesos de apoyo, asesoría y seguimiento en programas para la planificación de la gestión territorial en los municipios del Departamento del Quindío</t>
  </si>
  <si>
    <t>PLA-8-2026 Procesos apoyo, asesoría y seguimiento en la implementación de la Directrices de Ordenamiento Territorial, en los Entes Territoriales del Departamento de Quindío.</t>
  </si>
  <si>
    <t>0305 - 2.3.2.02.02.009.00.00.00.4599031.24119 - 20</t>
  </si>
  <si>
    <t>PLA-9-2026 Procesos de procesos apoyo, asesoría y seguimiento en la implementación del Catastro Multipropósito, en los Entes Territoriales del Departamento de Quindío</t>
  </si>
  <si>
    <t>PLA-10-2026 Procesos de procesos apoyo, asesoría y seguimiento en la implementación de los temas de asociatividad, en los Entes Territoriales del Departamento de Quindío</t>
  </si>
  <si>
    <t>PLA-11-2026 Procesos de procesos apoyo, asesoría y seguimiento en la implementación del Plan de competitividad, en los Entes Territoriales del Departamento de Quindío</t>
  </si>
  <si>
    <t>PLA-12-2026 Divulgación Programas a través de la página web del departamento</t>
  </si>
  <si>
    <t>Servicio de promoción a la participación ciudadana</t>
  </si>
  <si>
    <t>Espacios de participación promovidos</t>
  </si>
  <si>
    <t>Fortalecimiento en las capacidades del Consejo Territorial de Planeación en los prcesos de planificación territorial del Departamento del Quindío.</t>
  </si>
  <si>
    <t>PLA-13-2026 Prestación de servicios de apoyo a la gestión en la Secretaría de Planeación, para acompañar actividades del Consejo Territorial de Planeación</t>
  </si>
  <si>
    <t>0305 - 2.3.2.02.02.009.00.00.00.4502001.24072 - 20</t>
  </si>
  <si>
    <t>PLA-14-2026 Servicio de alojamiento en hoteles, servicio de transporte terrestre local no regular de pasajeros y/o transporte aereo de pasajeros para el desplazamiento de los diferentes eventos de los consejos territoriales de planeación.</t>
  </si>
  <si>
    <t>0305 - 2.3.2.02.02.006.00.00.00.4502001.24072 - 20</t>
  </si>
  <si>
    <t>PLA-15-2026 Comunicaciones externas de interes público a traves de medios radiales, prensa, televisivo; suministro de material litograficos, papeleria, impresos, publicaciones, entre otros.</t>
  </si>
  <si>
    <t>PLA-16-2026 Servicio de Suministros de Papeleria</t>
  </si>
  <si>
    <t>0305 - 2.3.2.02.01.003.00.00.00.4502001.24072 - 20</t>
  </si>
  <si>
    <t>Servicios de información implementados</t>
  </si>
  <si>
    <t>Sistemas de información implementados</t>
  </si>
  <si>
    <t>Implementación de los Sistemas de información para la generación de datos de manera accesible, confiable y oportuna en el Departamento del Quindío</t>
  </si>
  <si>
    <t>PLA-17-2026 Fortalecimiento de las plataformas SIG INSTITUCIONAL Y QUINDIO – Licencia de Software.</t>
  </si>
  <si>
    <t>0305 - 2.3.2.01.01.005.02.03.01.4599025.24066 - 20</t>
  </si>
  <si>
    <t>PLA-18-2026 Apoyar la implementación de instrumentos de planificación para el desarrollo y la gestión territorial Departamental en el área de sistemas de información geográfica - SIG.</t>
  </si>
  <si>
    <t>0305 - 2.3.2.02.02.009.00.00.00.4599025.24066 - 20</t>
  </si>
  <si>
    <t xml:space="preserve">PLA-19-2026 Desarrollo de estudios estratégicos en planificación territorial y prospectiva. </t>
  </si>
  <si>
    <t>459902504</t>
  </si>
  <si>
    <t>Observatorio implementado</t>
  </si>
  <si>
    <t xml:space="preserve">PLA-20-2026 Recolección y análisis de la información para la actualización y generación de los boletines trimestrales (4), Informe anual del Departamento (1), Informe de mercado laboral (1), Notas informativas (20), actualización y seguimiento de indicadores de desarrollo sostenible (1), Compilación anual de fichas básicas municipales (12), Anuario (1) y carta estadística (1). </t>
  </si>
  <si>
    <t>PLA-21-2026 Comunicaciones externas de interes público a traves de medios radiales, prensa, televisivo; suministro de material litograficos, papeleria, impresos, publicaciones, entre otros.</t>
  </si>
  <si>
    <t xml:space="preserve">Implementación del Sistemas de Gestión y de Desempeño Institucional en el marco del Modelo Integrado de Planeación y Gestión - MIPG en la Administración Departamental del Quindío </t>
  </si>
  <si>
    <t>PLA-22-2026 Dimensión de Talento Humano 
- Política de Gestión Estratégica de Talento Humano
- Política de Integridad</t>
  </si>
  <si>
    <t>0305 - 2.3.2.02.02.009.00.00.00.4599023.24037 - 20</t>
  </si>
  <si>
    <t>Secretario de Planeación
Directora Técnica</t>
  </si>
  <si>
    <t xml:space="preserve">PLA-23-2026 Dimensión  Direccionamiento Estratégico y  de Planeación 
- Política de Planeación Institucional 
- Política  Gestión Presupuestal y Eficiencia del Gasto Público
- Política de Compras y Contratación
</t>
  </si>
  <si>
    <t xml:space="preserve">PLA-24-2026 Dimensión   Gestión de Valores para Resultados 
- Política Fortalecimiento Organizacional y Simplificación de Procesos
- Política Gobierno Digital
- Política Seguridad Digital
- Política Defensa Jurídica 
- Política Mejora Normativa 
- Política Servicio al Ciudadano
- Política Racionalización de Trámites
- Política Participación Ciudadana en la Gestión Pública
</t>
  </si>
  <si>
    <t xml:space="preserve">PLA-25-2026 Dimensión  Evaluación de  Resultados
  - Política de Seguimiento y Evaluación al Desempeño Institucional
</t>
  </si>
  <si>
    <t xml:space="preserve">PLA-26-2026 Dimensión  Información y Comunicación  
- Politica Transparencia y Acceso a la Información y Lucha Contra la Corrupción
 - Políticas Gestión Documental
- Política de Gestión Estadística
</t>
  </si>
  <si>
    <t>PLA-27-2026 Dimensión  Gestión del Conocimiento y la Innovación 
- Política de Gestión del Conocimiento</t>
  </si>
  <si>
    <t>PLA-28-2026 Dimensión  de Control Interno 
-  Política de Control Interno</t>
  </si>
  <si>
    <t>PLA-29-2026 Monitoreo Plan de Acción  Modelo Integrado de Planeación y de Gestión
- Dimensiones y Políticas 
- Programa de Transparencia y Ética Pública</t>
  </si>
  <si>
    <t>PLA-30-2026 Procesos de divulgación Modelo Integrado de Planeación y de Gestión 
(Infogramas, Guias, Boletines, Página Web, etc)</t>
  </si>
  <si>
    <t>PLA-31-2026 Adquisición y provisión de equipos de oficina para asegurar el eficiente cumplimiento de las labores técnicas y administrativas.</t>
  </si>
  <si>
    <t>0305 - 2.3.2.01.01.003.03.02.00.4599023.24037 - 20</t>
  </si>
  <si>
    <t>4599001</t>
  </si>
  <si>
    <t>Documentos de evaluación</t>
  </si>
  <si>
    <t>459900100</t>
  </si>
  <si>
    <t>Documentos de evaluación elaborados</t>
  </si>
  <si>
    <t xml:space="preserve">Implementacion procesos de seguimiento, análiis de resultados e impactos de las politicas públicas, planes y programas de la administración departamental y Entes Descentralizados del departamento del Quindío </t>
  </si>
  <si>
    <t>PLA-32-2026  Elaboración y/o ajuste de Actos Administrativos que reglamentan la formulación, seguimiento y evaluación a las Políticas Públicas actualizada y funcional.</t>
  </si>
  <si>
    <t>0305 - 2.3.2.02.02.009.00.00.00.4599001.24038 - 20</t>
  </si>
  <si>
    <t>PLA-33-2026  Realización Procesos de asistencia técnica a los actores Internos y externos en los procesos de seguimiento y evaluación de las Políticas Públicas y Planes</t>
  </si>
  <si>
    <t>PLA-34-2026  Realización Procesos de capacitación de la normatividad legal que reglamenta las Políticas Públicas y Planes de la Administración Departamental. ( Formulación Seguimiento y Evaluación de Politicas, Planes y Programas )</t>
  </si>
  <si>
    <t>PLA-35-2026  Divulgación procesos de seguimiento y evaluación de las Políticas Públicas y Planes (Infogramas, Guias, Boletines, Página Web, etc)</t>
  </si>
  <si>
    <t>PLA-36-2026  Elaboración Documentos Técnicos de Seguimiento y Evaluación Politicas, Planes y Programas</t>
  </si>
  <si>
    <t>Entidades territoriales asistidas técnicamente</t>
  </si>
  <si>
    <t>Fortalecimiento de los procesos de asistencia Técnica  en  herramientas de gestión y conocimiento de políticas, planes, programas y proyectos, para el incremento del indice de gestión y desempeño de los entes  territoriales del Departamento del  Quindío.</t>
  </si>
  <si>
    <t xml:space="preserve">PLA-37-2026 Asistencias Técnicas  en Instrumentos de Planificación para  el Ordenamiento y la Gestión Territorial Departamental en los Entes Territoriales Departamento del Quindío </t>
  </si>
  <si>
    <t>0305 - 2.3.2.02.02.009.00.00.00.4599031.24041 - 20</t>
  </si>
  <si>
    <t xml:space="preserve">PLA-38-2026 Asistencias Técnicas  en El  Sistema de Selección de Beneficiarios SISBEN, en los  Entes Territoriales Departamento del Quindío </t>
  </si>
  <si>
    <t>Secretario de Planeación
Director Técnico
Jefe de Desarrollo Territorial
Jefe Proyectos y Cooperación
Directora Técnica</t>
  </si>
  <si>
    <t xml:space="preserve">PLA-39-2026 Asistencias Técnicas  en Banco de Programas y Proyectos de Inversión Nacional (BPIN), en los  Entes Territoriales Departamento del Quindío </t>
  </si>
  <si>
    <t xml:space="preserve">PLA-40-2026 Asistencias Técnicas  en  La Medición del Desempeño Municipal Entes, en los Territoriales Departamento del Quindío </t>
  </si>
  <si>
    <t>PLA-41-2026 Asistencias Técnicas en la Validación y presentación de los informes de Desempeño Municipal de los Entes Territoriales del Departamento del Quindío.</t>
  </si>
  <si>
    <t xml:space="preserve">PLA-42-2026 Asistencias Técnicas  en  El Modelo Integrado de Planeación y de Gestión MIPG,Entes Territoriales Departamento del Quindío </t>
  </si>
  <si>
    <t xml:space="preserve">PLA-43-2026 Asistencias Técnicas  en Formulación, Preparación, Seguimiento y Evaluación de Políticas Públicas, Planes y Programa, en Entes Territoriales Departamento del Quindío </t>
  </si>
  <si>
    <t>PLA-44-2026 Asistencia tecnica Procesos  de  divulgación Modelo Integrado de Planeación y de Gestión  (Página Web)</t>
  </si>
  <si>
    <t>450200101</t>
  </si>
  <si>
    <t>Rendicion de cuentas realizadas</t>
  </si>
  <si>
    <t>Fortalecimiento de la capacidad institucional para la implementación de la rendición pública de cuentas de la Administración Departamental del Quindío</t>
  </si>
  <si>
    <t xml:space="preserve">PLA-45-2026 Estructuración del proceso de planeación y elaboración del informe técnico de gestión por vigencias, en correspondencia de las líneas estratégicas del Plan de Desarrollo 2024-2027 “Por y Para la Gente” </t>
  </si>
  <si>
    <t>0305 - 2.3.2.02.02.009.00.00.00.4502001.24130 - 20</t>
  </si>
  <si>
    <t xml:space="preserve">PLA-46-2026 Presentación ilustrada de la Rendición Pública de Cuentas 
</t>
  </si>
  <si>
    <t xml:space="preserve">PLA-47-2026 Divulgación de la Cultura de la Rendición Publica de Cuentas  </t>
  </si>
  <si>
    <t>PLA-48-2026 Logística del proceso de rendición de Cuentas</t>
  </si>
  <si>
    <t>0305 - 2.3.2.02.02.006.00.00.00.4502001.24130 - 20</t>
  </si>
  <si>
    <t xml:space="preserve">PLA-49-2026 Activación del Sistema Nacional de Redición de Cuentas  </t>
  </si>
  <si>
    <t>LUIS ALBERTO RINCON QUINTERO</t>
  </si>
  <si>
    <t>Gobernabilidad, Fortalecimiento Institucional y Seguridad. “Quindío territorio seguro y confiable”</t>
  </si>
  <si>
    <t>GOBIERNO TERRITORIAL</t>
  </si>
  <si>
    <t>Servicio de apoyo para la implementación de medidas en derechos humanos y derecho internacional humanitario</t>
  </si>
  <si>
    <t>Medidas implementadas en cumplimiento de las obligaciones internacionales en materia de Derechos Humanos y Derecho Internacional Humanitario</t>
  </si>
  <si>
    <t>2024003630074</t>
  </si>
  <si>
    <t xml:space="preserve">Fortalecimiento de la capacidad institucional de los actores sociales en la consolidación de acciones conjuntas y sostenibles, que prevengan, promuevan y protejan los derechos humanos y el derecho en el Departamento del Quindío </t>
  </si>
  <si>
    <t>INT-1-2026 Suministrar papeleria y elementos de oficina</t>
  </si>
  <si>
    <t>0309 - 2.3.2.02.01.003.00.00.00.4502024.24074 - 20</t>
  </si>
  <si>
    <t>Secretario de Interior</t>
  </si>
  <si>
    <t>INT-2-2026 Realizar procesos de logística y refrigerios</t>
  </si>
  <si>
    <t>0309 - 2.3.2.02.02.006.00.00.00.4502024.24074 - 20</t>
  </si>
  <si>
    <t>INT-3-2026 Creación e implementación del plan integral de prevención de vulneración de DDHH</t>
  </si>
  <si>
    <t>0309 - 2.3.2.02.02.009.00.00.00.4502024.24074 - 20</t>
  </si>
  <si>
    <t>INT-4-2026 Realizar jornadas de prevención, sensibilización y socialización de rutas de protección y Derechos Humanos en los 12 municipios del Departamento</t>
  </si>
  <si>
    <t>INT-5-2026 Realizar Foros, Actos Culturales, Actos Simbólicos Y Espacios Que Promuevan La Paz</t>
  </si>
  <si>
    <t>INT-6-2026 Realizar Jornadas y estrategias de prevención y mitigación del delito de trata de personas en los 12 municipios del Departamento</t>
  </si>
  <si>
    <t>INT-7-2026 Garantizar el funcionamiento del Consejo Departamental de Paz, reconciliación, convivencia, DDHH y DIH</t>
  </si>
  <si>
    <t>INT-8-2026 Ayuda Humanitaria para victimas de trata de personas</t>
  </si>
  <si>
    <t>INT-9-2026 Garantías para los integrantes de la Mesa Territorial de Garantías</t>
  </si>
  <si>
    <t>Social, Inclusiva y Participativa. "En el Quindío todos caben y nadie se quedan atrás"</t>
  </si>
  <si>
    <t>INCLUSIÓN SOCIAL Y RECONCILIACIÓN</t>
  </si>
  <si>
    <t>Atención, asistencia  y reparación integral a las víctimas</t>
  </si>
  <si>
    <t xml:space="preserve"> Servicio de asistencia técnica para la realización de iniciativas de memoria histórica</t>
  </si>
  <si>
    <t>410101100      Iniciativas de memoria histórica asistidas técnicamente</t>
  </si>
  <si>
    <t>Generación de acciones en la atención y asistencia encaminadas a la reparación de las víctimas del conflicto armado en el Quindio</t>
  </si>
  <si>
    <t>INT-10-2026 Realizar procesos de logística y refrigerios</t>
  </si>
  <si>
    <t>0309 - 2.3.2.02.02.006.00.00.00.4101011.24077 - 20</t>
  </si>
  <si>
    <t>INT-11-2026 Apoyo y desarrollo de iniciativas que aportan a la memoria histórica del departamento</t>
  </si>
  <si>
    <t>0309 - 2.3.2.02.02.009.00.00.00.4101011.24077 - 20</t>
  </si>
  <si>
    <t>INT-12-2026 Realizar actividades de conmemoración de fechas de memoria Histórica dentro del ámbito de la Ley de victimas</t>
  </si>
  <si>
    <t>INT-13-2026 Apoyo a municipios priorizados para reparación colectiva.</t>
  </si>
  <si>
    <t>Servicio de orientación y comunicación a las víctimas</t>
  </si>
  <si>
    <t xml:space="preserve"> Solicitudes tramitadas</t>
  </si>
  <si>
    <t>INT-14-2026 Articulación con el sistema integral de justicia, reparación y no repetición para dar cumplimiento a fallos y medidas cautelares</t>
  </si>
  <si>
    <t>0309 - 2.3.2.02.02.009.00.00.00.4101023.24077 - 20</t>
  </si>
  <si>
    <t>INT-15-2026 Brindar información y orientación a las víctimas del conflicto de los 12 municipios del departamento.</t>
  </si>
  <si>
    <t>INT-16-2026 Brindar asistencia y capacitación a las víctimas de los 12 municipios del Departamento en la ley de victimas y restitución de tierras y sus enfoques reglamentarios</t>
  </si>
  <si>
    <t>INT-17-2026 Realizar jornadas de prevención a vulneraciones de DDHH y DIH a victimas en los 12 municipios del Departamento</t>
  </si>
  <si>
    <t>INT-18-2026 Acompañamiento a victimas desaparición forzada en sus procesos de búsqueda</t>
  </si>
  <si>
    <t>INT-19-2026 Realizar procesos de articulación, asistencia y atención a los 12 municipios del Departamento y su población víctima en el desarrollo de Sesiones de Comités, Subcomités y actualización de los PAT Municipales</t>
  </si>
  <si>
    <t>INT-20-2026 Apoyo a procesos de caracterización de los municipios, cuando sea requerido por éstos</t>
  </si>
  <si>
    <t>INT-21-2026 Suministrar papeleria y elementos de oficina</t>
  </si>
  <si>
    <t>0309 - 2.3.2.02.01.003.00.00.00.4101023.24077 - 20</t>
  </si>
  <si>
    <t>INT-22-2026 Realizar procesos de logística y refrigerios</t>
  </si>
  <si>
    <t>0309 - 2.3.2.02.02.006.00.00.00.4101023.24077 - 20</t>
  </si>
  <si>
    <t>Servicio de ayuda y atención humanitaria</t>
  </si>
  <si>
    <t>Personas con asistencia humanitaria</t>
  </si>
  <si>
    <t>INT-23-2026  Apoyar los procesos de retorno y reubicación de las víctimas del conflicto armado.</t>
  </si>
  <si>
    <t>0309 - 2.3.2.02.02.009.00.00.00.4101025.24077 - 20</t>
  </si>
  <si>
    <t>INT-24-2026 Concurrir, complementar y subsidiar los kits de ayuda humanitaria inmediata a las Victimas del conflicto en los 12 municipios del Quindío</t>
  </si>
  <si>
    <t>Servicio de asistencia técnica para la participación de las víctimas</t>
  </si>
  <si>
    <t xml:space="preserve"> Eventos de participación realizados</t>
  </si>
  <si>
    <t>INT-25-2026 Garantías para Sesiones de la mesa departamental de victimas.</t>
  </si>
  <si>
    <t>0309 - 2.3.2.02.02.009.00.00.00.4101038.24077 - 20</t>
  </si>
  <si>
    <t>INT-26-2026 Suministrar papeleria y elementos de oficina</t>
  </si>
  <si>
    <t>0309 - 2.3.2.02.02.006.00.00.00.4101038.24077 - 20</t>
  </si>
  <si>
    <t>INT-27-2026 Apoyo al Plan de Trabajo de la mesa Departamental de Victimas</t>
  </si>
  <si>
    <t>INT-28-2026 Dotación y fortalecimiento a la mesa Departamental de Victimas</t>
  </si>
  <si>
    <t>0309 - 2.3.2.01.01.003.03.02.00.4101038.24077 - 20</t>
  </si>
  <si>
    <t>INT-29-2026 Realizar procesos de logística y refrigerios</t>
  </si>
  <si>
    <t>INT-30-2026 Garantías para representantes de la mesa departamental de victimas para asistir a las Sesiones del Comité Departamental de Justicia Transicional, Sub Comités de Victimas otras espacios de participación</t>
  </si>
  <si>
    <t>Servicio de apoyo para la generación de ingresos</t>
  </si>
  <si>
    <t>Hogares con asistencia técnica para la generación de ingresos</t>
  </si>
  <si>
    <t>INT-31-2026 Apoyo a productividad de la población víctima</t>
  </si>
  <si>
    <t>0309 - 2.3.2.02.02.009.00.00.00.4101073.24077 - 20</t>
  </si>
  <si>
    <t>Inclusión social y productiva para la población en situación de vulnerabilidad</t>
  </si>
  <si>
    <t xml:space="preserve">Servicio de gestión de oferta social para la población vulnerable </t>
  </si>
  <si>
    <t xml:space="preserve">Beneficiarios potenciales para quienes se gestiona la oferta social </t>
  </si>
  <si>
    <t>Generación de acciones en la atención y asistencia técnica encaminadas a la reparación de la población firmante de paz residente en el Departamento del Quindio</t>
  </si>
  <si>
    <t>INT-32-2026 Atención y asistencia a la población excombatiente del Departamento</t>
  </si>
  <si>
    <t>0309 - 2.3.2.02.02.009.00.00.00.4103052.24103 - 20</t>
  </si>
  <si>
    <t>INT-33-2026 Apoyo a la productividad de la población excombatiente</t>
  </si>
  <si>
    <t>INT-34-2026 Jornadas de reconciliación de la población excombatiente de la sociedad del Departamento</t>
  </si>
  <si>
    <t>Productividad, Competitividad y Medio Ambiente. “Quindío amigo de las empresas y el empleo. Quindío verde, territorio de agua, agricultura y medio ambiente”</t>
  </si>
  <si>
    <t>Gestión del riesgo de desastres y emergencias</t>
  </si>
  <si>
    <t>Servicio de educación informal</t>
  </si>
  <si>
    <t xml:space="preserve">Personas capacitadas </t>
  </si>
  <si>
    <t>Ampliación de la cobertura de atención del Sistema Departamental de Gestión del Riesgo de Desastres en el Departamento del Quindio</t>
  </si>
  <si>
    <t>INT-35-2026 Capacitar a la comunidad del departamento del Quindío, con el propósito de promover estrategias para implementación de la gestión del riesgo de desastres, garantizando una respuesta efectiva ante cualquier situación de emergencia.</t>
  </si>
  <si>
    <t>0309 - 2.3.2.02.02.009.00.00.00.4503002.24089 - 20</t>
  </si>
  <si>
    <t>INT-36-2026 Impresos y material didactico.</t>
  </si>
  <si>
    <t>0309 - 2.3.2.02.01.003.00.00.00.4503002.24089 - 20</t>
  </si>
  <si>
    <t>INT-37-2026 Logistica y refrigerios para la organización de foros, talleres, eventos y/o actividades.</t>
  </si>
  <si>
    <t>0309 - 2.3.2.02.02.006.00.00.00.4503002.24089 - 20</t>
  </si>
  <si>
    <t>Instancias territoriales asistidas</t>
  </si>
  <si>
    <t>INT-38-2026 Brindar asistencia tecnica a las Entidades territoriales que conforman el sistema departamental de gestión del riesgo de desastres en procesos de conocimiento, reducción del riesgo y manejo de desastres para el fortalecimiento de la capacidad de respuesta institucional, así como el cumplimiento de fallos y sentencias a cargo de UDEGERD Quindio.</t>
  </si>
  <si>
    <t>0309 - 2.3.2.02.02.009.00.00.00.4503003.24089 - 20</t>
  </si>
  <si>
    <t>INT-39-2026 Servicios para la atención y el desarrollo de actividades y procesos que contribuyan al fortalecimiento de la gestión del riesgo de desastres.</t>
  </si>
  <si>
    <t>Servicio de fortalecimiento a las salas de crisis territoriales</t>
  </si>
  <si>
    <t xml:space="preserve">Organismos de emergencia fortalecidos </t>
  </si>
  <si>
    <t>INT-40-2026 Dotar y fortalecer las entidades y organismos de socorro que conforman la sala de crisis departamental con los elementos requeridos para la articulación interinstitucional que contribuya a la atención y respuesta de las situaciones de emergencia y/o desastre.</t>
  </si>
  <si>
    <t>0309 - 2.3.2.01.01.003.03.02.00.4503016.24089 - 20</t>
  </si>
  <si>
    <t>INT-41-2026 Adquisición de elementos de seguridad y protección humana para fortalecimiento de la capacidad de respuesta de los organismos de socorro que conforman la sala de crisis.</t>
  </si>
  <si>
    <t>0309 -2.3.2.02.01.003.00.00.00.4503016.24089 - 20</t>
  </si>
  <si>
    <t>INT-42-2026 Adquisición de elementos electrónicos para fortalecimiento de la capacidad de respuesta de los organismos de socorro que conforman la sala de crisis.</t>
  </si>
  <si>
    <t>0309 -2.3.2.01.01.003.05.02.00.4503016.24089 - 20</t>
  </si>
  <si>
    <t>INT-43-2026 Adquisición de elementos electrónicos para fortalecimiento de la capacidad de respuesta de los organismos de socorro que conforman la sala de crisis.</t>
  </si>
  <si>
    <t>0309 -2.3.2.01.01.003.04.06.00.4503016.24089 - 20</t>
  </si>
  <si>
    <t>INT-44-2026 Adquisición de bienes muebles para el fortalecimiento de la unidad departamental de gestión del riesgo de desastres del quindío.</t>
  </si>
  <si>
    <t>0309 -2.3.2.01.01.004.01.01.02.4503016.24089 - 20</t>
  </si>
  <si>
    <t>INT-45-2026 Generar convenios interinstitucionales que permitan el fortalecimiento de la gestión del riesgo de desastre en el Departamento del Quindío.</t>
  </si>
  <si>
    <t>0309 - 2.3.2.02.02.009.00.00.00.4503016.24089 - 20</t>
  </si>
  <si>
    <t>INT-46-2026 Adquisición de servicios de instalación y  mantenimiento de equipos de radiocomunicaciones</t>
  </si>
  <si>
    <t>0309 - 2.3.2.02.02.008.00.00.00.4503016.24089 - 20</t>
  </si>
  <si>
    <t>INT-47-2026 Fortalecimiento de la red de comunicaciones de emergencias del departamento.</t>
  </si>
  <si>
    <t>0309 - 2.3.2.01.01.003.01.06.00.4503016.24089 - 20</t>
  </si>
  <si>
    <t>INT-48-2026 Apoyo al fortalecimiento del fondo departamental de bomberos, dando cumplimiento a la ordenanza No. 012 del 04 de septiembre de 2023.</t>
  </si>
  <si>
    <t>INT-49-2026 Adquisición de productos metálicos, maquinaria y equipo para el fortalecimiento del fondo departamental de bomberos, dando cumplimiento a la ordenanza No. 012 del 04 de septiembre de 2023.</t>
  </si>
  <si>
    <t>0309 - 2.3.2.02.01.004.00.00.004503016.24089 - 20</t>
  </si>
  <si>
    <t>INT-50-2026 Adquisición de Elementos textiles, prendas de vestir y productos de cuero para el fortalecimiento del fondo departamental de bomberos, dando cumplimiento a la ordenanza No. 012 del 04 de septiembre de 2023.</t>
  </si>
  <si>
    <t>0309 - 2.3.2.02.01.002.00.00.00,4503016.24089 - 20</t>
  </si>
  <si>
    <t>Servicios de información implementado</t>
  </si>
  <si>
    <t>INT-51-2026 Diseño e Implementación de un Sistema de Información de Gestión del Riesgo en el Departamento del Quindío.</t>
  </si>
  <si>
    <t>0309 - 2.3.2.02.02.009.00.00.00.4503019.24089 - 20</t>
  </si>
  <si>
    <t>INT-52-2026 Diseño de red de alertas tempranas del departamento del Quindío como instrumento para el fortalecimiento del conocimiento del riesgo.</t>
  </si>
  <si>
    <t>4503028</t>
  </si>
  <si>
    <t>Servicios de apoyo para atención de  población afectada por situaciones de emergencia, desastre o declaratorias de calamidad pública</t>
  </si>
  <si>
    <t>450302800</t>
  </si>
  <si>
    <t>Personas afectadas por situaciones de emergencia, desastre o declaratorias de calamidad pública apoyadas</t>
  </si>
  <si>
    <t>INT-53-2026 Adquirir elementos de ayuda humanitaria de emergencia AHE para el centro de reserva del Departamento del Quindio, en cumplimiento al principio de subsidiariedad con los territorios en respuesta a las situaciones de emergencia y/o desastres.</t>
  </si>
  <si>
    <t>0309 - 2.3.2.02.01.003.00.00.00.4503028.24089 - 20</t>
  </si>
  <si>
    <t xml:space="preserve">INT-54-2026 Adquisición de elementos textiles para ayuda humanitaria de emergencia AHE para el centro de reserva del Departamento del Quindio. </t>
  </si>
  <si>
    <t>0309 - 2.3.2.02.01.002.00.00.00.4503028.24089 - 20</t>
  </si>
  <si>
    <t xml:space="preserve">INT-55-2026 Adquisición de elementos metálicos, maquinaria y equipo para ayuda humanitaria de emergencia AHE para el centro de reserva del Departamento del Quindio. </t>
  </si>
  <si>
    <t>0309 - 2.3.2.02.01.004.00.00.00.4503028.24089 - 20</t>
  </si>
  <si>
    <t>EDUCACIÓN</t>
  </si>
  <si>
    <t>Calidad, cobertura y fortalecimiento de la educación inicial, prescolar, básica y media</t>
  </si>
  <si>
    <t xml:space="preserve">Servicio de gestión de riesgos y desastres en establecimientos educativos </t>
  </si>
  <si>
    <t xml:space="preserve">Establecimientos educativos con acciones de gestión del riesgo implementadas </t>
  </si>
  <si>
    <t>Ampliación de la cobertura de las Instituciones Educativas con Planes Escolares de Gestión del Riesgo de Desastres-PEGERD en el
Departamento del Quindio</t>
  </si>
  <si>
    <t>INT-56-2026 Brindar acompañamiento y asesoría a las instituciones educativas del Departamento del Quindío en el seguimiento y actualización de los Planes educativos de gestión del riesgo de desastres PEGERD.</t>
  </si>
  <si>
    <t>0309 - 2.3.2.02.02.009.00.00.00.2201068.24095 - 20</t>
  </si>
  <si>
    <t>20</t>
  </si>
  <si>
    <t>INT-57-2026 Realizar acompañamiento a los simulacros relacionados con la gestión del riesgo en las instituciones educativas del Departamento del Quindío.</t>
  </si>
  <si>
    <t>Productividad, Competitividad Y Medio Ambiente“ Quindío Amigo De Las Empresas Y El Empleo. Quindío Verde, Territorio De Agua, Agricultura Y Medio Ambiente”</t>
  </si>
  <si>
    <t>AMBIENTE Y DESARROLLO SOSTENIBLE</t>
  </si>
  <si>
    <t>Ordenamiento ambiental territorial</t>
  </si>
  <si>
    <t>Documentos de lineamientos técnicos para el ordenamiento ambiental territorial</t>
  </si>
  <si>
    <t>Documentos de lineamientos técnicos realizados</t>
  </si>
  <si>
    <t>Ampliación A La Cobertura De Atención Del Sistema Departamental De Gestión Del Riesgo De Desastres, Fortaleciendo Los Procesos De Conocimiento, Reducción Del Riesgo Y Manejo De Desastres En El Departamento Del Quindío.</t>
  </si>
  <si>
    <t>INT-58-2026 Seguimiento técnico a la supervisión del contrato interadministrativo 001 de 2020 “PARA LA EJECUCIÓN DEL PROYECTO DE GENERACIÓN DE INSTRUMENTOS DE VALORACIÓN DE LA AMENAZA SÍSIMICA PARA EL DESARROLLO DE PROCESOS DE REDUCCIÓN DEL RIESGO EN EL DEPARTAMENTO DEL QUINDÍO” y la consultoría 010 de 2021</t>
  </si>
  <si>
    <t>0309 - 2.3.2.02.02.009.00.00.00.3205001.24132 - 20</t>
  </si>
  <si>
    <t>Documentos de estudios técnicos para el ordenamiento ambiental territorial</t>
  </si>
  <si>
    <t>Documentos de estudios técnicos para el conocimiento y reducción del riesgo de desastres elaborados</t>
  </si>
  <si>
    <t>INT-59-2026 Realización de visitas técnicas y emisión de informes que sean requeridos en la evaluación de sitios de amenaza en el marco de los procesos de conocimiento y reducción del riesgo.</t>
  </si>
  <si>
    <t>0309 - 2.3.2.02.02.009.00.00.00.3205002.24132 - 20</t>
  </si>
  <si>
    <t>INT-60-2026 Levantamiento de la información cartográfica de puntos de amenaza por incendios forestales, movimientos de remoción en masa y alertas hidrometereológicas en el departamento del Quindío, en el marco de la generación del conocimiento del riesgo.</t>
  </si>
  <si>
    <t>INT-61-2026 Generacion de Conceptos y estudios Tecnicos que contengan información que contribuya al conocimiento de la gestión del riesgo de desastres en el Departamento del Quindío.</t>
  </si>
  <si>
    <t>JUSTICIA Y DEL DERECHO</t>
  </si>
  <si>
    <t xml:space="preserve"> Promoción al acceso a la justicia</t>
  </si>
  <si>
    <t>1202004</t>
  </si>
  <si>
    <t>Servicio de asistencia técnica para la articulación de los operadores de los Servicio de justicia</t>
  </si>
  <si>
    <t>Entidades Territoriales asistidas técnicamente</t>
  </si>
  <si>
    <t>Fortalecimiento de los organismos de justicia a través de asistencias Técnicas para la disminución del delito del departamento del Quindío</t>
  </si>
  <si>
    <t>INT-62-2026 Generación y/o apoyo a programas de intervención social y/o de seguridad</t>
  </si>
  <si>
    <t>0309 - 2.3.2.02.02.009.00.00.00.1202004.24078 - 20</t>
  </si>
  <si>
    <t>INT-63-2026 Intervenciones y apoyo Psicosociales, juridicas y/o de formación en los municipios del Departamento del Quindío</t>
  </si>
  <si>
    <t>INT-64-2026 Logistica y Refrigerios</t>
  </si>
  <si>
    <t>0309 - 2.3.2.02.02.006.00.00.00.1202004.24078 - 20</t>
  </si>
  <si>
    <t>INT-65-2026 Servicios de material impresos, publicaciones y/o comunicaciones de los  programas de lasentidades estatales</t>
  </si>
  <si>
    <t>0309 - 2.3.2.02.01.003.00.00.00.1202004.24078 - 20</t>
  </si>
  <si>
    <t>INT-66-2026 Realizar implementación de programas ludicos,culturales y/o deportivos para  población vulnerable en areas focalizadas para la mitigación del delito y riesgos sociales.</t>
  </si>
  <si>
    <t>INT-67-2026 Realizar seguimiento y apoyo a la ejecución de los objetivos del PISCC Departamental y Municipal.</t>
  </si>
  <si>
    <t>Fortalecimiento de la convivencia y la seguridad ciudadana</t>
  </si>
  <si>
    <t>4501001</t>
  </si>
  <si>
    <t>Instancias territoriales asistidas técnicamente</t>
  </si>
  <si>
    <t>Fortalecimiento de las instancias territoriales, para mejorar la convivencia, preservación del orden público y la seguridad ciudadana en el Departamento del . Quindio</t>
  </si>
  <si>
    <t>INT-68-2026 Servicios de apoyo en actividades de convivencia y seguridad ciudadana en los municipios del departamento del Quindío.</t>
  </si>
  <si>
    <t>0309 - 2.3.2.02.02.009.00.00.00.4501001.24081 - 20</t>
  </si>
  <si>
    <t>INT-69-2026 Servicios promocionales y publicitarios de promocion de la convivencia y seguridad ciudadana</t>
  </si>
  <si>
    <t>Promoción de los métodos de resolución de conflictos</t>
  </si>
  <si>
    <t>1203002</t>
  </si>
  <si>
    <t>Servicio de asistencia técnica para la implementación de los métodos de resolución de conflictos</t>
  </si>
  <si>
    <t>Instituciones públicas y privadas asistidas técnicamente en métodos de resolución de conflictos</t>
  </si>
  <si>
    <t>Fortalecimiento de las Instituciones públicas y privadas técnicamente para la efectiva resolución de conflictos en el departamento del Quindio</t>
  </si>
  <si>
    <t>INT-70-2026 Servicios de apoyo y coordinación con los organismos de seguridad del departamento.</t>
  </si>
  <si>
    <t>0309 - 2.3.2.02.02.009.00.00.00.1203002.24082 - 20</t>
  </si>
  <si>
    <t>INT-71-2026 Fortalecimiento de las Capacidades de los organismos de Seguridad del Departamento para resolución de conflictos sociales.</t>
  </si>
  <si>
    <t>INT-72-2026 Desarrollo de Estrategias para reducción de amenazas y vulnerabilidades en zonas focalizas en el Departamento del Quindío.</t>
  </si>
  <si>
    <t>INT-73-2026 Servicio de apoyo de asistencia técnica para la resolución de Conflictos a la comunidad del Departamento del Quindío</t>
  </si>
  <si>
    <t>45</t>
  </si>
  <si>
    <t>4502001</t>
  </si>
  <si>
    <t>450200100</t>
  </si>
  <si>
    <t>Consolidación de las estrategias para el desarrollo y/o fortalecimiento de capacidades participativas, democráticas y organizativas de los ciudadanos , que promuevan el ejercicio ciudadano y la interacción con el estado, en el departamento Quindio</t>
  </si>
  <si>
    <t>INT-74-2026 Apoyo en la realización de eventos para el fortalecimiento y la capaticacion en participación ciudadana y control social.</t>
  </si>
  <si>
    <t>0309 - 2.3.2.02.02.009.00.00.00.4502001.24083 - 20</t>
  </si>
  <si>
    <t>INT-75-2026 Servicios de comunicación, publicación y difusion de los mecanismos de participacion</t>
  </si>
  <si>
    <t>INT-76-2026 Servicios de comunicación, publicación y difusion de los mecanismos de participacion</t>
  </si>
  <si>
    <t>0309 - 2.3.2.02.02.009.00.00.00.4502001.24083 - 01</t>
  </si>
  <si>
    <t>Impuesto al Registro 20%</t>
  </si>
  <si>
    <t>INT-77-2026 Apoyo a iniciativas y estrategias de participacion ciudadana</t>
  </si>
  <si>
    <t>INT-78-2026 Adquisición de vehículos para el fortalecimiento de los organismos  que promuevan el ejercicio de la participación ciudadana.</t>
  </si>
  <si>
    <t>0309 - 2.3.2.01.01.003.07.01.00.4502001.24083 - 20</t>
  </si>
  <si>
    <t>Estrategia de acompañamiento sobre capacidades democráticas y organizativas  implementada</t>
  </si>
  <si>
    <t>INT-79-2026 Servicios de apoyo para la operatividad del comité de libertad religiosa.</t>
  </si>
  <si>
    <t>INT-80-2026 Desarrollar las actividades propias de la implementación de la Política Pública de Libertad Religiosa, cultos y conciencia.</t>
  </si>
  <si>
    <t>INT-81-2026 Papeleria impresa, material publicitario y elementos relacionados</t>
  </si>
  <si>
    <t>0309 - 2.3.2.02.01.003.00.00.00.4502001.24083 - 20</t>
  </si>
  <si>
    <t>INT-82-2026 Logistica y/o regrigerios</t>
  </si>
  <si>
    <t>0309 - 2.3.2.02.02.006.00.00.00.4502001.24083 - 20</t>
  </si>
  <si>
    <t>INT-83-2026 Implementacion y seguimiento de la Política Pública Departamental para la Acción Comunal</t>
  </si>
  <si>
    <t>INT-84-2026 Servicio de apoyo a las estrategías de fortalecimiento a las veedurias ciudadanas.</t>
  </si>
  <si>
    <t>450200111</t>
  </si>
  <si>
    <t>INT-85-2026 Apoyo y Fortalecimiento a los organismos de accion comunal del Departamento del Quindio</t>
  </si>
  <si>
    <t>INT-86-2026 Apoyo y Financacion de los procesos Electrorales que se lleven a cabo en el Departamento del Quindio.</t>
  </si>
  <si>
    <t>INT-87-2026 Apoyar las Iniciativas para la promoción de la participación de las comunidades del Departamento en escenarios sociales y políticos.</t>
  </si>
  <si>
    <t>INT-88-2026 Apoyo a estrategías y/o programas de promoción y fortalecimiento de la participación ciudadana</t>
  </si>
  <si>
    <t>4501029</t>
  </si>
  <si>
    <t>Servicio de apoyo financiero para proyectos de convivencia y seguridad ciudadana</t>
  </si>
  <si>
    <t>450102900</t>
  </si>
  <si>
    <t>Proyectos de Convivencia y Seguridad Ciudadana Apoyados Financieramente</t>
  </si>
  <si>
    <t>Fortalecimiento del apoyo financiero de los organismos de seguridad, para mejorar la convivencia, preservación del orden público y la
seguridad ciudadana en el Departamento del Quindio</t>
  </si>
  <si>
    <t>INT-89-2026 Financiación y/o coofinaciación de proyectos de móvilidad.</t>
  </si>
  <si>
    <t>0309 - 2.3.2.01.01.003.07.01.00.4501029.24090 - 42</t>
  </si>
  <si>
    <t>FONDOS DE SEGURIDAD 5%</t>
  </si>
  <si>
    <t>INT-90-2026  Adquisición de Vehículos Automotores</t>
  </si>
  <si>
    <t>42</t>
  </si>
  <si>
    <t>SUPERAVIT FONDO DE SEGURIDAD 5%</t>
  </si>
  <si>
    <t>INT-91-2026 Suministro de combustible</t>
  </si>
  <si>
    <t>0309 - 2.3.2.02.01.003.00.00.00.4501029.24090 - 42</t>
  </si>
  <si>
    <t>INT-92-2026 Servicios de apoyo y financiación en procesos tecnológicos de seguridad en el departamento.</t>
  </si>
  <si>
    <t>0309 - 2.3.2.01.01.003.04.06.00.4501029.24090 - 42</t>
  </si>
  <si>
    <t>INT-93-2026 Servicios de apoyo y financiación en procesos tecnológicos de seguridad en el departamento.</t>
  </si>
  <si>
    <t>0309 -
2.3.2.02.02.008.00.00.00.
4501029.24090 - 42</t>
  </si>
  <si>
    <t>INT-94-2026 Servicios de apoyo y financiación en procesos tecnológicos de seguridad en el departamento.</t>
  </si>
  <si>
    <t>0309 - 2.3.2.01.01.003.03.02.00.4501029.24090 - 42</t>
  </si>
  <si>
    <t>INT-95-2026 Adquisición Elementos Tecnológicos y/o Electrónicos para el Fortalecimiento de la convivencia y la seguridad ciudadana.</t>
  </si>
  <si>
    <t>INT-96-2026 Servicios de apoyo para los procesos de adquisición de bienes y servicios con cargo a los organismos de seguridad del departamento.</t>
  </si>
  <si>
    <t>0309 - 2.3.2.02.02.009.00.00.00.4501029.24090 - 42</t>
  </si>
  <si>
    <t>INT-97-2026 Servicios de apoyo para los procesos de adquisición de bienes y servicios con cargo a los organismos de seguridad del departamento.</t>
  </si>
  <si>
    <t>0309 - 2.3.2.02.02.009.00.00.00.4501029.24090 - 20</t>
  </si>
  <si>
    <t>INT-98-2026 Servicios de orden social, Control y Fiscalización de Sustancias Químicas y Estupefacientes en el departamento.</t>
  </si>
  <si>
    <t>INT-99-2026 Pago fuentes humanas</t>
  </si>
  <si>
    <t>INT-100-2026 Suministro de alimentación</t>
  </si>
  <si>
    <t>0309 - 2.3.2.02.02.006.00.00.00.4501029.24090 - 42</t>
  </si>
  <si>
    <t>INT-101-2026 Servicio de apoyo mediante gestores de convivencia, para el fortalecimiento de la seguridad y la convivencia ciudadana</t>
  </si>
  <si>
    <t>4599</t>
  </si>
  <si>
    <t>4599019</t>
  </si>
  <si>
    <t>Documentos de planeación</t>
  </si>
  <si>
    <t>459901900</t>
  </si>
  <si>
    <t>Documentos de planeación realizados</t>
  </si>
  <si>
    <t>Fortalecimiento de las politicas publicas en el departamento del Quindio</t>
  </si>
  <si>
    <t>INT-102-2026 Realizar seguimiento y evaluación de las politicas publicas departamentales</t>
  </si>
  <si>
    <t>0309 - 2.3.2.02.02.009.00.00.00.4599019.24097 - 20</t>
  </si>
  <si>
    <t>Sistema penitenciario y carcelario en el marco de los derechos humanos</t>
  </si>
  <si>
    <t>1206005</t>
  </si>
  <si>
    <t>Servicio de resocialización de personas privadas de la libertad</t>
  </si>
  <si>
    <t>Personas privadas de la libertad (PPL) que reciben Servicio de resocialización</t>
  </si>
  <si>
    <t>Implementación de acciones de apoyo para la resocialización de las personas privadas de la libertad en las Instituciones Penitenciarias del Departamento del Quindio</t>
  </si>
  <si>
    <t>INT-103-2026 Servicios de apoyo psicosocial, lúdico y formativo para personas privadas de la libertad que promuevan su resocialización</t>
  </si>
  <si>
    <t>0309 - 2.3.2.02.02.009.00.00.00.1206005.24098 - 20</t>
  </si>
  <si>
    <t>INT-104-2026 Programas de fortalecimiento del Sistema de Responsabilidad Penal para adolescentes.</t>
  </si>
  <si>
    <t>INT-105-2026 Servicio de Fortalecimiento para el Funcionamiento de los Centros de Reclusión del Departamento.</t>
  </si>
  <si>
    <t>0309 - 2.3.2.02.01.003.00.00.00.1206005.24098 - 20</t>
  </si>
  <si>
    <t>INT-106-2026 Servicio de Fortalecimiento para el Funcionamiento de los Centros de detención transitoria para personas privadas de la libertad en calidad de sindicadas.</t>
  </si>
  <si>
    <t xml:space="preserve">JAIME ANDRES PEREZ COTRINO </t>
  </si>
  <si>
    <t>PROGRAMACIÓN PLAN DE ACCIÓN 
SECRETARÍA:   CULTURA         AÑO:  2026</t>
  </si>
  <si>
    <t xml:space="preserve">REPROGRAMACION </t>
  </si>
  <si>
    <t xml:space="preserve">TOTAL </t>
  </si>
  <si>
    <t>rubro</t>
  </si>
  <si>
    <t>Social, Inclusiva y Participativa. "En el Quindío todos caben y nadie se quedan atrás".</t>
  </si>
  <si>
    <t>Cultura</t>
  </si>
  <si>
    <t>Gestión, protección y salvaguardia del patrimonio cultural colombiano</t>
  </si>
  <si>
    <t>Servicio de asistencia técnica en el manejo y gestión del patrimonio arqueológico, antropológico e histórico</t>
  </si>
  <si>
    <t xml:space="preserve"> Asistencias técnicas realizadas a entidades territoriales</t>
  </si>
  <si>
    <t>Apoyo a actividades que reconozcan la Diversidad, fomenten el Diálogo Cultural, los Saberes y la Memoria para la sostenibilidad del Patrimonio Cultural del Quindío</t>
  </si>
  <si>
    <t>CUL-1-2026 Realización de asistencias técnicas para la gestión, protección y salvaguardia del patrimonio cultural y el Paisaje Cultural Cafetero</t>
  </si>
  <si>
    <t>0310 - 2.3.2.02.02.009.00.00.00.3302042.24046 - 20</t>
  </si>
  <si>
    <t>Secretario de Cultura</t>
  </si>
  <si>
    <t xml:space="preserve"> Servicio de divulgación y publicación del patrimonio cultural</t>
  </si>
  <si>
    <t>Publicaciones realizadas</t>
  </si>
  <si>
    <t xml:space="preserve">CUL-2-2026 Financiación de proyectos con el fin de garantizar la proteccion y  salvaguarda del patrimonio cultural del Quindio </t>
  </si>
  <si>
    <t>0310 - 2.3.2.02.02.009.00.00.00.3302070.24046 - 47</t>
  </si>
  <si>
    <t>IVA TELEFONIA MOVIL</t>
  </si>
  <si>
    <t>CUL-3-2026 Realizar actividades que permitan la  Investigación, divulgación y publicación del patrimonio cultural</t>
  </si>
  <si>
    <t>0310 - 2.3.2.02.02.009.00.00.00.3302070.24046 - 20</t>
  </si>
  <si>
    <t>CUL-4-2026 Realizar actividades que permitan la  Investigación, divulgación y publicación del patrimonio cultural</t>
  </si>
  <si>
    <t>0310 - 2.3.2.02.02.006.00.00.00.3302070.24046 - 20</t>
  </si>
  <si>
    <t>CUL-5-2026 Realizar actividades que permitan la  Investigación, divulgación y publicación del patrimonio cultural</t>
  </si>
  <si>
    <t>0310 - 2.3.2.02.01.003.00.00.00.3302070.24046 - 20</t>
  </si>
  <si>
    <t xml:space="preserve"> Servicio de educación informal en asuntos patrimoniales</t>
  </si>
  <si>
    <t>Capacitaciones realizadas</t>
  </si>
  <si>
    <t>Apoyo a actividades que reconozcan la diversidad, fomenten el diálogo cultural, los saberes y la memoria para la sostenibilidad del Patrimonio Cultural del Quindío</t>
  </si>
  <si>
    <t xml:space="preserve">CUL-6-2026 Realizar capacitaciones que permitan el reconomiento y la aporpiacion social del patrimonio cultural en el Quindio </t>
  </si>
  <si>
    <t>0310 - 2.3.2.02.02.009.00.00.00.3302078.24046 - 20</t>
  </si>
  <si>
    <t xml:space="preserve"> Documentos de lineamientos técnicos </t>
  </si>
  <si>
    <t xml:space="preserve"> Documentos de lineamientos técnicos realizados</t>
  </si>
  <si>
    <t>CUL-7-2026 Producción de documentos técnicos para la protección, salvaguardia y gestión del patrimonio cultural</t>
  </si>
  <si>
    <t>0310 - 2.3.2.02.02.009.00.00.00.3302002.24046 - 20</t>
  </si>
  <si>
    <t>Promoción y acceso efectivo a procesos culturales y artísticos</t>
  </si>
  <si>
    <t xml:space="preserve"> Documentos de lineamientos técnicos</t>
  </si>
  <si>
    <t>2024003630049</t>
  </si>
  <si>
    <t>Fortalecimiento de la gobernanza cultural en el Quindío</t>
  </si>
  <si>
    <t>CUL-8-2026 Producir documentos analíticos para el fortalecimiento del sector</t>
  </si>
  <si>
    <t>0310 - 2.3.2.02.02.009.00.00.00.3301070.24049 - 20</t>
  </si>
  <si>
    <t>Servicio de información para el sector artístico y cultural</t>
  </si>
  <si>
    <t>Sistema de información del sector artístico y cultural en operación</t>
  </si>
  <si>
    <t xml:space="preserve">CUL-9-2026 Gestionar el sistema de Información Cultural </t>
  </si>
  <si>
    <t>0310 - 2.3.2.02.02.009.00.00.00.3301099.24049 - 20</t>
  </si>
  <si>
    <t xml:space="preserve"> Servicio de asistencia técnica en procesos de comunicación cultural</t>
  </si>
  <si>
    <t>Asistencias técnicas a los procesos de comunicación cultural realizadas</t>
  </si>
  <si>
    <t xml:space="preserve">CUL-10-2026 Realizar asistencia técnica para conectar medios de comunicación con los procesos artísticos y culturales </t>
  </si>
  <si>
    <t>0310 - 2.3.2.02.02.009.00.00.00.3301059.24049 - 20</t>
  </si>
  <si>
    <t>Servicio de apoyo para la organización y la participación del sector artístico, cultural y la ciudadanía</t>
  </si>
  <si>
    <t xml:space="preserve"> Encuentros realizados</t>
  </si>
  <si>
    <t>CUL-11-2026 Garantizar las condiciones técnicas para la realización de consejos departamentales de cultura.</t>
  </si>
  <si>
    <t>0310 - 2.3.2.02.02.009.00.00.00.3301074.24049 - 20</t>
  </si>
  <si>
    <t xml:space="preserve">CUL-12-2026 apoyar la realización de los encuentros departamentales con la institucionalidad cultural </t>
  </si>
  <si>
    <t>0310 - 2.3.2.02.02.006.00.00.00.3301074.24049 - 20</t>
  </si>
  <si>
    <t xml:space="preserve">CUL-13-2026 apoyar la realización de los encuentros departamentales con la institucionalidad cultural </t>
  </si>
  <si>
    <t>0310 - 2.3.2.02.02.007.00.00.00.3301074.24049 - 20</t>
  </si>
  <si>
    <t xml:space="preserve"> Servicio de educación informal en áreas artísticas y culturales</t>
  </si>
  <si>
    <t>Personas capacitadas</t>
  </si>
  <si>
    <t>CUL-14-2026 Realizar actividades de formación en gestión cultural permitiendo el fortalecimiento de la gobernanza.</t>
  </si>
  <si>
    <t>0310 - 2.3.2.02.02.009.00.00.00.3301087.24049 - 20</t>
  </si>
  <si>
    <t>CUL-15-2026 Realizar actividades de formación en gestión cultural permitiendo el fortalecimiento de la gobernanza.</t>
  </si>
  <si>
    <t>0310 - 2.3.2.02.01.003.00.00.00.3301087.24049 - 20</t>
  </si>
  <si>
    <t>Fortalecimiento de los espacios convencionales y no convencionales que garanticen el acceso a la lectura, escritura y oralidad en el departamento del Quindío</t>
  </si>
  <si>
    <t>CUL-16-2026 Realizar actividades que permitan la formación informal en gestión, lectura, escritura y oralidad</t>
  </si>
  <si>
    <t>0310 - 2.3.2.02.02.009.00.00.00.3301087.24050 - 20</t>
  </si>
  <si>
    <t>CUL-17-2026 Garantizar las condiciones técnicas y logísticas para el alistamiento y ejecución de actividades que permitan la formación informal de escritura y oralidad.</t>
  </si>
  <si>
    <t>0310 - 2.3.2.02.02.006.00.00.00.3301087.24050 - 20</t>
  </si>
  <si>
    <t>Servicios bibliotecarios</t>
  </si>
  <si>
    <t xml:space="preserve"> Usuarios atendidos</t>
  </si>
  <si>
    <t xml:space="preserve">CUL-18-2026 Fortalecer los servicios bibliotecarios a través de la coordinación, difusión literaria y actividades de promoción de lectura en espacios convencionales y no convencionales </t>
  </si>
  <si>
    <t>0310 - 2.3.2.02.02.009.00.00.00.3301085.24050 - 20</t>
  </si>
  <si>
    <t xml:space="preserve">CUL-19-2026 Fortalecer los servicios bibliotecarios a través de la coordinación, difusión literaria y actividades de promoción de lectura en espacios convencionales y no convencionales </t>
  </si>
  <si>
    <t>0310 - 2.3.2.02.02.009.00.00.00.3301085.24050 - 34</t>
  </si>
  <si>
    <t>ESTAMPILLA PRO-CULTURA 10% BIBLIOTECAS</t>
  </si>
  <si>
    <t xml:space="preserve">Infraestructuras culturales dotadas </t>
  </si>
  <si>
    <t xml:space="preserve"> Infrestructuras culturales dotadas</t>
  </si>
  <si>
    <t>CUL-20-2026 Realizar procesos de dotación y fortalecimiento a las bibliotecas que conforman la red departamental</t>
  </si>
  <si>
    <t>0310 - 2.3.2.02.01.004.00.00.00.3301127.24050 - 34</t>
  </si>
  <si>
    <t>CUL-21-2026 Realizar procesos de dotación y fortalecimiento a las bibliotecas que conforman la red departamental</t>
  </si>
  <si>
    <t>0310 - 2.3.2.02.01.003.00.00.00.3301127.24050 - 34</t>
  </si>
  <si>
    <t>Servicio de divulgación y publicaciones</t>
  </si>
  <si>
    <t xml:space="preserve"> Publicaciones realizadas</t>
  </si>
  <si>
    <t xml:space="preserve">CUL-22-2026 Apoyar los proceso o actividades de publicación, divulgación y circulación de las obras literarias </t>
  </si>
  <si>
    <t>0310 - 2.3.2.02.02.009.00.00.00.3301100.24050 - 20</t>
  </si>
  <si>
    <t xml:space="preserve">CUL-23-2026 Apoyar los proceso o actividades de publicación, divulgación y circulación de las obras literarias </t>
  </si>
  <si>
    <t>0310 - 2.3.2.02.02.007.00.00.00.3301100.24050 - 20</t>
  </si>
  <si>
    <t xml:space="preserve">CUL-24-2026 Apoyar los proceso o actividades de publicación, divulgación y circulación de las obras literarias </t>
  </si>
  <si>
    <t>0310 - 2.3.2.02.02.007.00.00.00.3301100.24050-34</t>
  </si>
  <si>
    <t xml:space="preserve">CUL-25-2026 Impresión y publicación de las obras literarias de autores locales </t>
  </si>
  <si>
    <t>0310 - 2.3.2.02.02.008.00.00.00.3301100.24050 - 34</t>
  </si>
  <si>
    <t xml:space="preserve"> Servicio de circulación artística y cultural </t>
  </si>
  <si>
    <t>Contenidos culturales  en circulación</t>
  </si>
  <si>
    <t>Fortalecimiento de la formación del arte y la cultura para la construcción de la paz en el Departamento del Quindío.</t>
  </si>
  <si>
    <t>CUL-26-2026 Generar contenidos culturales a través de la creación, gestión, producción, coproducción difusión y circulación para visibilizar las manifestaciones del arte y la cultura del Quindío</t>
  </si>
  <si>
    <t>0310 - 2.3.2.02.02.009.00.00.00.3301073.24051 - 20</t>
  </si>
  <si>
    <t>CUL-27-2026 Generar contenidos culturales a través de la creación, gestión, producción, coproducción difusión y circulación para visibilizar las manifestaciones del arte y la cultura del Quindío</t>
  </si>
  <si>
    <t>0310 - 2.3.2.02.01.003.00.00.00.3301073.24051 - 20</t>
  </si>
  <si>
    <t>CUL-28-2026 Garantizar las condiciones técnicas y logísticas para el alistamiento, seguimiento, evaluación y ejecución de las actividades que se requieran para realizar las producciones artísticas puestas en circulación.</t>
  </si>
  <si>
    <t>CUL-29-2026 Garantizar las condiciones técnicas y logísticas para el alistamiento, seguimiento, evaluación y ejecución de las actividades que se requieran para realizar las producciones artísticas puestas en circulación.</t>
  </si>
  <si>
    <t xml:space="preserve">Servicio de promoción de actividades culturales </t>
  </si>
  <si>
    <t>Eventos de promoción de actividades culturales realizados</t>
  </si>
  <si>
    <t>CUL-30-2026 Apoyar la realización de eventos de la  cultura Que se articulen ente los agentes del sector la institucionalidad y los municipios que mejoren el disfrute de las diferentes manifestaciones del arte y la cultura</t>
  </si>
  <si>
    <t>0310 - 2.3.2.02.02.009.00.00.00.3301053.24051 - 20</t>
  </si>
  <si>
    <t>CUL-31-2026 Garantizar las condiciones técnicas y logísticas para la realización y promoción de los eventos culturales</t>
  </si>
  <si>
    <t>0310 - 2.3.2.02.02.006.00.00.00.3301053.24051 - 20</t>
  </si>
  <si>
    <t>CUL-32-2026 Garantizar las condiciones técnicas y logísticas para la realización y promoción de los eventos culturales</t>
  </si>
  <si>
    <t>0310 - 2.3.2.02.02.007.00.00.00.3301053.24051 - 20</t>
  </si>
  <si>
    <t xml:space="preserve"> Servicio de educación informal al sector artístico y cultural</t>
  </si>
  <si>
    <t>CUL-33-2026 Garantizar el seguimiento de la Formación informal para educandos de 6 a 14 años, por parte de los profesionales titulados como licenciados en áreas artísticas y culturales.</t>
  </si>
  <si>
    <t>0310 - 2.3.2.02.02.009.00.00.00.3301051.24051 - 20</t>
  </si>
  <si>
    <t>Servicio de Educación formal al sector artístico cultural</t>
  </si>
  <si>
    <t>Personas Capacitadas</t>
  </si>
  <si>
    <t>CUL-34-2026 Mantener el número de formadores quindianos titulados en el sector artístico. (Proyecto Regalías).</t>
  </si>
  <si>
    <t>0310 - 2.3.2.02.02.009.00.00.00.3301052.24051 - 20</t>
  </si>
  <si>
    <t>Servicio de educación informal en áreas artísticas y culturales</t>
  </si>
  <si>
    <t xml:space="preserve"> Personas capacitadas</t>
  </si>
  <si>
    <t>CUL-35-2026 Capacitar personas en las diferentes disciplinas artísticas a través de talleres para el adecuado uso del tiempo libre en el departamento del Quindío.</t>
  </si>
  <si>
    <t>0310 - 2.3.2.02.02.009.00.00.00.3301087.24051 - 20</t>
  </si>
  <si>
    <t>CUL-36-2026 Garantizar las condiciones técnicas y logísticas para el alistamiento y ejecución de actividades que permitan los procesos de formación informal en áreas artísticas.</t>
  </si>
  <si>
    <t>0310 - 2.3.2.02.01.003.00.00.00.3301087.24051 - 20</t>
  </si>
  <si>
    <t>CUL-37-2026 Garantizar las condiciones técnicas y logísticas para el alistamiento y ejecución de actividades que permitan los procesos de formación informal en áreas artísticas.</t>
  </si>
  <si>
    <t>0310 - 2.3.2.02.02.006.00.00.00.3301087.24051 - 20</t>
  </si>
  <si>
    <t xml:space="preserve">Servicio de apoyo financiero al sector artístico y cultural </t>
  </si>
  <si>
    <t xml:space="preserve"> Estímulos otorgados</t>
  </si>
  <si>
    <t xml:space="preserve">CUL-38-2026 Garantizar las condiciones técnicas y logísticas para el alistamiento, seguimiento, evaluación y ejecución de los proyectos artísticos y culturales de la secretaria de cultura </t>
  </si>
  <si>
    <t>0310 - 2.3.2.02.02.009.00.00.00.3301054.24051 - 39</t>
  </si>
  <si>
    <t>ESTAMPILLA PRO-CULTURA 50% CONCERTACION</t>
  </si>
  <si>
    <t xml:space="preserve">CUL-39-2026 Garantizar las condiciones técnicas y logísticas para el alistamiento, seguimiento, evaluación y ejecución de los proyectos artísticos y culturales de la secretaria de cultura </t>
  </si>
  <si>
    <t>0310 - 2.3.2.02.02.009.00.00.00.3301054.24051 - 41</t>
  </si>
  <si>
    <t>ESTAMPILLA PRO-CULTRA 10% ESTIMULOS</t>
  </si>
  <si>
    <t>CUL-40-2026  Cofinanciar proyectos de concertación nacional y departamental</t>
  </si>
  <si>
    <t>CUL-41-2026 Otorgar estímulos económicos aumentando la cobertura, cantidad y circulación de becas y premios a la creación e investigación en artes a nivel departamental.</t>
  </si>
  <si>
    <t>CUL-42-2026 Otorgar pagos económicos para pensiones en beneficio de los artistas Quindianos.</t>
  </si>
  <si>
    <t>0310 - 2.3.2.02.02.009.00.00.00.3301054.24051 - 33</t>
  </si>
  <si>
    <t>ESTAMPILLA PRO-CULTURA 10% SEGURIDAD SOCIAL</t>
  </si>
  <si>
    <t>CUL-43-2026 Apoyar las actividades programadas para los pagos económicos para pensiones en beneficio de los artistas Quindianos.</t>
  </si>
  <si>
    <t>0310 - 2.3.2.02.02.009.00.00.00.3301054.24051 - 20</t>
  </si>
  <si>
    <t>ç</t>
  </si>
  <si>
    <t xml:space="preserve">                                                                                </t>
  </si>
  <si>
    <t>FELIPE ARTURO ROBLEDO MARTÍNEZ</t>
  </si>
  <si>
    <t>Norma Consuelo Mantilla Quintero</t>
  </si>
  <si>
    <t>MIPGHG2</t>
  </si>
  <si>
    <t>PROGRAMACIÓN PLAN DE ACCIÓN 
SECRETARÍA:  AGRICULTURA, DESARROLLO RURAL Y MEDIO AMBIENTE         AÑO:  2026</t>
  </si>
  <si>
    <t>REPROGRAMACION</t>
  </si>
  <si>
    <t>Agricultura y desarrollo rural</t>
  </si>
  <si>
    <t>Inclusión productiva de pequeños productores rurales</t>
  </si>
  <si>
    <t>Servicio de apoyo financiero para proyectos productivos</t>
  </si>
  <si>
    <t>Proyectos productivos cofinanciados</t>
  </si>
  <si>
    <t>Fortalecimiento de la asociatividad y el emprendimiento rural en el Departamento del Quindío</t>
  </si>
  <si>
    <t>AGR-1-2026  Realizar convenios y/o alianzas para cofinanciaciòn de proyectos productivos</t>
  </si>
  <si>
    <t>0312 - 2.3.2.02.02.009.00.00.00.1702007.24052 - 20</t>
  </si>
  <si>
    <t xml:space="preserve">RECURSO ORDINARIO </t>
  </si>
  <si>
    <t>Secretario de Agricultura</t>
  </si>
  <si>
    <t>AGR-2-2026 Apoyar la asociatividad y emprendimientos con el suministro de logística en los procesos o servicios de comercialización.</t>
  </si>
  <si>
    <t xml:space="preserve">AGR-3-2026  Adquisición de elementos impresos y/o publicaciones que se requieran en los procesos de  cofinanciacion de proyectos productivos </t>
  </si>
  <si>
    <t>0312 - 2.3.2.02.01.003.00.00.00.1702007.24052 - 20</t>
  </si>
  <si>
    <t>Servicio de apoyo financiero para el acceso a activos productivos y de comercialización</t>
  </si>
  <si>
    <t>Productores apoyados con activos productivos y de comercialización</t>
  </si>
  <si>
    <t>AGR-4-2026 Realizar apoyo financiero para el acceso a activos productivos y de comercialización</t>
  </si>
  <si>
    <t>0312 - 2.3.2.02.02.009.00.00.00.1702009.24052 - 20</t>
  </si>
  <si>
    <t>Servicio de asesoría para el fortalecimiento de la asociatividad</t>
  </si>
  <si>
    <t>Asociaciones fortalecidas</t>
  </si>
  <si>
    <t>AGR-5-2026  Realizar actividades de asesoría para el fortalecimiento de la asociatividad</t>
  </si>
  <si>
    <t>0312 - 2.3.2.02.02.009.00.00.00.1702011.24052 - 20</t>
  </si>
  <si>
    <t>AGR-6-2026  Suministro de logistica, comidas y bebidas en el marco de los procesos de apoyo y fortalecimiento de asociaciones del Departamento</t>
  </si>
  <si>
    <t>0312 - 2.3.2.02.02.006.00.00.00.1702011.24052 - 20</t>
  </si>
  <si>
    <t>AGR-7-2026 Adquisición de elementos impresos y/o publicaciones que se requieran en los procesos de acompañamiento y fortalecimiento de las asociaciones</t>
  </si>
  <si>
    <t>0312 - 2.3.2.02.01.003.00.00.00.1702011.24052 - 20</t>
  </si>
  <si>
    <t>Servicio de apoyo a la comercialización</t>
  </si>
  <si>
    <t>Organizaciones de productores formales apoyadas</t>
  </si>
  <si>
    <t>Fortalecimiento de procesos de mercadeo y comercialización agropecuaria en el Departamento del Quindío</t>
  </si>
  <si>
    <t>AGR-8-2026 Acompañamiento a las organizaciones de productores formales</t>
  </si>
  <si>
    <t>0312 - 2.3.2.02.02.008.00.00.00.1702038.24070 - 20</t>
  </si>
  <si>
    <t>AGR-9-2026 Brindar apoyo a las organizaciones de productores formales mediante el suministro de logística, así como de comidas y bebidas, durante los procesos o servicios de comercialización, y en la consolidación de encadenamientos.</t>
  </si>
  <si>
    <t>0312 - 2.3.2.02.02.006.00.00.00.1702038.24070 - 20</t>
  </si>
  <si>
    <t xml:space="preserve">AGR-10-2026  Apoyar a las organizaciones de productores con logística, compra y/o adquisicion de suministros y transporte en los procesos o servicios de comercialización y consolidación de encadenamientos.
</t>
  </si>
  <si>
    <t>0312 - 2.3.2.02.02.009.00.00.00.1702038.24070 - 20</t>
  </si>
  <si>
    <t>AGR-11-2026 Adquisicion de elementos impresos y/o publicaciones que se requieren en los procesos de acompañamiento en los servicios de comercializacion y consolidacion de encadenamientos</t>
  </si>
  <si>
    <t>0312 - 2.3.2.02.01.003.00.00.00.1702038.24070 - 20</t>
  </si>
  <si>
    <t>Productores apoyados para la participación en mercados campesinos</t>
  </si>
  <si>
    <t>AGR-12-2026 Apoyo institucional a productores en la participación en mercados campesinos; Compra y/o adquisición de suministros, logística y transporte</t>
  </si>
  <si>
    <t>AGR-13-2026 Apoyo institucional a productores en la participación en mercados campesinos; Compra y/o adquisición de suministros, logística, transporte, hilados, tejidos, artículos textiles y dotación</t>
  </si>
  <si>
    <t>0312 - 2.3.2.02.01.002.00.00.00.1702038.24070 - 20</t>
  </si>
  <si>
    <t xml:space="preserve">Productividad, Competitividad y Medio Ambiente. “Quindío amigo de las empresas y el empleo. Quindío verde, territorio de agua, agricultura y medio ambiente” </t>
  </si>
  <si>
    <t xml:space="preserve">Documentos de evaluación elaborados </t>
  </si>
  <si>
    <t>Fortalecimiento de procesos de extensión agropecuaria para la agricultura familiar campesina del departamentod del Quindio</t>
  </si>
  <si>
    <t>AGR-14-2026 Documentos de evaluación</t>
  </si>
  <si>
    <t>0312 - 2.3.2.02.02.008.00.00.00.1702041.24109 - 20</t>
  </si>
  <si>
    <t>Servicios de acompañamiento en la implementaciónde Planes de desarrollo agropecuario y rural</t>
  </si>
  <si>
    <t>Planes de Desarrollo Agropecuario y Rural acompañados</t>
  </si>
  <si>
    <t>AGR-15-2026 Servicios de acompañamiento en la implementación de planes de desarrollo agropecuario y rur</t>
  </si>
  <si>
    <t>0312 - 2.3.2.02.02.008.00.00.00.1702024.24109 - 20</t>
  </si>
  <si>
    <t>Servicio de apoyo en la formulación y estructuración de proyectos</t>
  </si>
  <si>
    <t>Proyectos estructurados</t>
  </si>
  <si>
    <t>Servicio de apoyo en la formulación y estructuración de proyectos de Desarrollo Rural e inclusión productiva campesina en el Departamento del Quindío</t>
  </si>
  <si>
    <t>AGR-16-2026 Apoyar en la estructuración y/o formulación de proyectos de desarrollo rural e inclusión productiva campesina</t>
  </si>
  <si>
    <t>0312 - 2.3.2.02.02.008.00.00.00.1702025.24047 - 20</t>
  </si>
  <si>
    <t xml:space="preserve"> Servicios financieros y gestión del riesgo para las actividades agropecuarias y rurales</t>
  </si>
  <si>
    <t>Servicio de apoyo a la implementación de mecanismos y herramientas para el conocimiento, reducción y manejo de riesgos agropecuarios</t>
  </si>
  <si>
    <t>Personas beneficiadas</t>
  </si>
  <si>
    <t>Fortalecimiento de procesos para la prevención y mitigación de riesgos naturales del sector agropecuario en el Departamento del Quindío.</t>
  </si>
  <si>
    <t>AGR-17-2026 Acompañamiento técnico, económico a los productores en la prevención y mitigación de riesgos naturales</t>
  </si>
  <si>
    <t>0312 - 2.3.2.02.02.009.00.00.00.1703013.24096 - 20</t>
  </si>
  <si>
    <t>Agricultura y esarrollo rural</t>
  </si>
  <si>
    <t xml:space="preserve"> Aprovechamiento de mercados externos</t>
  </si>
  <si>
    <t>Servicio de apoyo financiero para la participación en Ferias nacionales e internacionales</t>
  </si>
  <si>
    <t>Participaciones en ferias nacionales e internacionales</t>
  </si>
  <si>
    <t>Apoyo institucional a eventos y ferias para la competitividad productiva y empresarial del sector rural en el Departamento del Quindío</t>
  </si>
  <si>
    <t>AGR-18-2026 Convenios y/o alianzas estratégicas para el apoyo financiero orientado a la participación y/o realización de ferias y eventos nacionales e internacionales, contrato de logistica, suministros, contrato de arrendamiento de stand</t>
  </si>
  <si>
    <t>0312 - 2.3.2.02.02.008.00.00.00.1706004.24059 - 20</t>
  </si>
  <si>
    <t>AGR-19-2026 Suministro de logística, comidas y bebidas en el marco de los procesos de apoyo en la participación en ferias nacionales e internacionales.</t>
  </si>
  <si>
    <t>0312 - 2.3.2.02.02.006.00.00.00.1706004.24059 - 20</t>
  </si>
  <si>
    <t>AGR-20-2026 Adquisición de elementos impresos y/o publicaciones que se requieran en los procesos de apoyo y acompañamiento para la participación en ferias nacionales e internacionales.</t>
  </si>
  <si>
    <t>0312 - 2.3.2.02.01.003.
00.00.00.1706004.
24059 - 20</t>
  </si>
  <si>
    <t>Sanidad agropecuaria e inocuidad agroalimentaria</t>
  </si>
  <si>
    <t>Servicio de divulgación y socialización</t>
  </si>
  <si>
    <t>Eventos realizados</t>
  </si>
  <si>
    <t>Apoyo a procesos de sanidad e inocuidad alimentaria en el departamento del Quindío</t>
  </si>
  <si>
    <t>AGR-21-2026 Apoyo, coordinación y puesta en marcha de eventos de procesos de sanidad e inocuidad alimentaria</t>
  </si>
  <si>
    <t>0312 - 2.3.2.02.02.009.00.00.00.1707069.24093 - 20</t>
  </si>
  <si>
    <t>Ciencia, tecnología e innovación agropecuaria</t>
  </si>
  <si>
    <t>Documentos de lineamientos técnicos</t>
  </si>
  <si>
    <t>Documentos de lineamientos técnicos elaborados</t>
  </si>
  <si>
    <t>Fortalecimiento de procesos de innovación, ciencia y tecnología agropecuaria en el Departamento en el Quindío</t>
  </si>
  <si>
    <t>AGR-22-2026 Apoyo, coordinación y puesta en marcha de proyectos CTI</t>
  </si>
  <si>
    <t>0312 - 2.3.2.02.02.009.00.00.00.1708016.24113 - 20</t>
  </si>
  <si>
    <t>Servicio de información actualizado</t>
  </si>
  <si>
    <t>Sistemas de información actualizados</t>
  </si>
  <si>
    <t>AGR-23-2026 Compra y/o adquisición de materiales para la aplicación de las tecnologias de agricultura de transición socializada</t>
  </si>
  <si>
    <t>0312 - 2.3.2.02.02.008.00.00.00.1708051.24113 - 20</t>
  </si>
  <si>
    <t>Servicio de divulgación de transferencia de tecnología</t>
  </si>
  <si>
    <t>Productores beneficiados con transferencia de tecnología</t>
  </si>
  <si>
    <t>AGR-24-2026 Realizar divulgación de tecnologias de agricultura de transición enfocado en el fomento al derecho humano a la alimentación adecuada</t>
  </si>
  <si>
    <t>0312 - 2.3.2.02.02.009.00.00.00.1708040.24113 - 20</t>
  </si>
  <si>
    <t>AGR-25-2026 Fortalecimiento de procesos tecnológicos en la producción de alimentos innocuos bajo modelos de invernaderos que beneficien a la comunidad del departamento del Quindío.</t>
  </si>
  <si>
    <t>Infraestructura productiva y comercialización</t>
  </si>
  <si>
    <t>Infraestructura para la transformación de productos agropecuarios adecuada</t>
  </si>
  <si>
    <t xml:space="preserve">Implementación de procesos de transformación agroindustrial integral de productos agropecuarios en el Departamento del Quindío </t>
  </si>
  <si>
    <t>AGR-26-2026 Realización de acciones de mejoramiento y/o adecuaciones de instalaciones fisicas locativas, dotación de elementos, maquinaria y/o equipos para la transformación agropecuaria a través de procesos de mínima cuantía, menor cuantía y/o convenios</t>
  </si>
  <si>
    <t>0312 - 2.3.2.02.02.008.00.00.00.1709059.24060 - 20</t>
  </si>
  <si>
    <t>Comercio, industria y turismo</t>
  </si>
  <si>
    <t xml:space="preserve">Productividad y competitividad de las empresas colombianas </t>
  </si>
  <si>
    <t>Servicio de asistencia técnica para el desarrollo de iniciativas clústeres</t>
  </si>
  <si>
    <t>Clústeres asistidos en la implementación de los planes de acción</t>
  </si>
  <si>
    <t>Apoyo a iniciativas clúster y a nuevos emprendimientos de las cadenas promisorias agropecuarias en el Departamento del Quindío</t>
  </si>
  <si>
    <t>AGR-27-2026 Desarrollo de acciones de capacitación, acompañamiento, asesoría, y seguimiento a planes de acción; convenios y/o alianzas estratégicas para fortalecimiento de los encadenamientos productivos e iniciativas clúster</t>
  </si>
  <si>
    <t>0312 - 2.3.2.02.02.009.00.00.00.3502007.24073 - 20</t>
  </si>
  <si>
    <t>3502017</t>
  </si>
  <si>
    <t>Servicio de asistencia técnica para emprendedores y/o empresas en edad temprana</t>
  </si>
  <si>
    <t>Empresas asistidas técnicamente</t>
  </si>
  <si>
    <t>AGR-28-2026 Desarrollo de actividades para el fomento de la cultura de asociatividad; convenios para apoyo en capital semilla y/o ferias de emprendedores</t>
  </si>
  <si>
    <t>0312 - 2.3.2.02.02.009.00.00.00.3502017.24073 - 20</t>
  </si>
  <si>
    <t>Ambiente y desarrollo sostenible</t>
  </si>
  <si>
    <t>Fortalecimiento del desempeño ambiental de los sectores productivos</t>
  </si>
  <si>
    <t>3201008</t>
  </si>
  <si>
    <t>Servicio de vigilancia de la calidad del aire</t>
  </si>
  <si>
    <t>Campaña de monitoreo de calidad del aire realizadas</t>
  </si>
  <si>
    <t>Apoyo a los procesos de Gestión Ambiental Urbana y Rural para la protección del Paisaje y la Biodiversidad Quindío</t>
  </si>
  <si>
    <t>AGR-29-2026 Realización de Campaña de monitoreo de calidad del aire realizadas</t>
  </si>
  <si>
    <t>0312 - 2.3.2.02.02.008.00.00.00.3201008.24094 - 20</t>
  </si>
  <si>
    <t>3201013</t>
  </si>
  <si>
    <t>Documento de lineamientos técnicos para mejorar la calidad ambiental de las áreas urbanas</t>
  </si>
  <si>
    <t>320101300</t>
  </si>
  <si>
    <t>Documento de lineamientos técnicos para  mejorar la calidad ambiental de las áreas urbanas elaborados</t>
  </si>
  <si>
    <t>AGR-30-2026 Acciones para mejorar la calidad ambiental de las áreas urbanas</t>
  </si>
  <si>
    <t>0312 - 2.3.2.02.02.008.00.00.00.3201013.24094 - 20</t>
  </si>
  <si>
    <t>3202</t>
  </si>
  <si>
    <t>Conservación de la biodiversidad y sus servicios ecosistémicos</t>
  </si>
  <si>
    <t>Servicio de recuperación de cuerpos de agua lénticos y lóticos</t>
  </si>
  <si>
    <t>320203700</t>
  </si>
  <si>
    <t xml:space="preserve">Extensión de cuerpos de agua recuperados </t>
  </si>
  <si>
    <t>Apoyo a las acciones para la conservación de las áreas de importancia estratégica hídrica en el Departamento del Quindío</t>
  </si>
  <si>
    <t>AGR-31-2026 Intervención de áreas de importancia estratégica para la conservación y regulación del recurso hídrico</t>
  </si>
  <si>
    <t>0312 - 2.3.2.02.02.009.00.00.00.3202037.24091 - 20</t>
  </si>
  <si>
    <t>Servicio apoyo financiero para la implementación de esquemas de pago por Servicio ambientales</t>
  </si>
  <si>
    <t xml:space="preserve">Áreas con esquemas de pago por Servicios Ambientales implementados </t>
  </si>
  <si>
    <t>AGR-32-2026 Esquemas de Pago por Servicio Ambientales</t>
  </si>
  <si>
    <t>0312 - 2.3.2.02.02.009.00.00.00.3202043.24091 - 20</t>
  </si>
  <si>
    <t>Servicio de administración y manejo de áreas protegidas locales no vinculadas al Sistema Nacional de Áreas Protegidas</t>
  </si>
  <si>
    <t>Areas  Administradas</t>
  </si>
  <si>
    <t>AGR-33-2026 Administración y manejo de áreas protegidas locales no vinculadas al Sistema Nacional de Áreas Protegidas</t>
  </si>
  <si>
    <t>0312 - 2.3.2.02.02.008.00.00.00.3202047.24091 - 20</t>
  </si>
  <si>
    <t>AGR-34-2026 Servicio de desplazamiento de personal asignado para la Administración y manejo de áreas protegidas locales no vinculadas al Sistema Nacional de Áreas Protegidas</t>
  </si>
  <si>
    <t>0312 - 2.3.2.02.02.006.00.00.00.3202047.24091 - 20</t>
  </si>
  <si>
    <t>Servicio de restauración de ecosistemas</t>
  </si>
  <si>
    <t>Áreas en proceso de restauración</t>
  </si>
  <si>
    <t>AGR-35-2026 Areas en proceso de restauración</t>
  </si>
  <si>
    <t>0312 - 2.3.2.02.02.009.00.00.00.3202005.24091 - 20</t>
  </si>
  <si>
    <t>Servicio de reforestación de ecosistemas</t>
  </si>
  <si>
    <t>Plantaciones forestales aisladas</t>
  </si>
  <si>
    <t>AGR-36-2026 Recuperación, mejoramiento y mantenimiento de la cobertura vegetal a través de la implementación de herramientas del paisaje.</t>
  </si>
  <si>
    <t>0312 - 2.3.2.02.02.009.00.00.00.3202006.24091 - 20</t>
  </si>
  <si>
    <t>Servicio de asistencia técnica para la consolidación de negocios verdes</t>
  </si>
  <si>
    <t xml:space="preserve">Negocios verdes consolidados </t>
  </si>
  <si>
    <t>Apoyo a nuevos modelos para la consolidación de negocios verdes en el Departamento del Quindío</t>
  </si>
  <si>
    <t>AGR-37-2026 Acciones de verificación y asesoría técnica, para el mejoramiento del ingreso y calidad de vida de los productores del departamento del Quindío</t>
  </si>
  <si>
    <t>0312 - 2.3.2.02.02.008.00.00.00.3201003.24088 - 20</t>
  </si>
  <si>
    <t>AGR-38-2026 Suministro de logística para la promoción y consolidación de los nuevos modelos de negocios verdes en el Departamento del Quindío</t>
  </si>
  <si>
    <t>0312 - 2.3.2.02.02.009.00.00.00.3201003.24088 - 20</t>
  </si>
  <si>
    <t>3205009</t>
  </si>
  <si>
    <t>Barreras rompe vientos recuperadas</t>
  </si>
  <si>
    <t>320500900</t>
  </si>
  <si>
    <t>Barreras rompe vientos</t>
  </si>
  <si>
    <t>Apoyo al programa  de protección del  patrimonio ambiental en paisaje la biodiversidad y sus servicios ecosistémicos en el Departamento del Quindío</t>
  </si>
  <si>
    <t>AGR-39-2026 Desarrollar acciones de recuperación de Barreras rompe vientos</t>
  </si>
  <si>
    <t>0312 - 2.3.2.02.02.009.00.00.00.3205009.24067 - 20</t>
  </si>
  <si>
    <t>3205010</t>
  </si>
  <si>
    <t>Obras para estabilización de taludes</t>
  </si>
  <si>
    <t>320501000</t>
  </si>
  <si>
    <t>Obras para estabilización de taludes realizadas</t>
  </si>
  <si>
    <t>AGR-40-2026 Desarrollar acciones de Bioingenieria para la estabilización de Taludes</t>
  </si>
  <si>
    <t>0312 - 2.3.2.02.02.009.00.00.00.3205010.24067 - 20</t>
  </si>
  <si>
    <t>3206</t>
  </si>
  <si>
    <t>Gestión del cambio climático para un desarrollo bajo en carbono y resiliente al clima</t>
  </si>
  <si>
    <t>Estufa ecoeficiente fija</t>
  </si>
  <si>
    <t>Estufas ecoeficientes fijas construidas</t>
  </si>
  <si>
    <t>Apoyo a acciones de Gestión del Cambio Climático en el marco del PIGCC, en el Departamento del Quindío</t>
  </si>
  <si>
    <t>AGR-41-2026 Operatividad de la estufas ecoeficientes</t>
  </si>
  <si>
    <t>0312 - 2.3.2.02.02.009.00.00.00.3206016.24068 - 20</t>
  </si>
  <si>
    <t>AGR-42-2026 Implementación de soluciones ecoeficientes mediante estufas fijas en comunidades rurales</t>
  </si>
  <si>
    <t>3206005</t>
  </si>
  <si>
    <t>Servicio de divulgación de la información en gestión del cambio climático para un desarrollo bajo en carbono y resiliente al clima</t>
  </si>
  <si>
    <t>320600500</t>
  </si>
  <si>
    <t xml:space="preserve">Campañas de información en gestión de cambio climático realizadas </t>
  </si>
  <si>
    <t>AGR-43-2026 Acciones de difusión de la información en gestión del cambio climático</t>
  </si>
  <si>
    <t>0312 - 2.3.2.02.02.009.00.00.00.3206005.24068 - 20</t>
  </si>
  <si>
    <t>AGR-44-2026 Adquisición y suministro de servicios de alimentación para los espacios de difusión de la información en gestión del cambio climático</t>
  </si>
  <si>
    <t>0312 - 2.3.2.02.02.006.00.00.00. 3206005.24068 -20</t>
  </si>
  <si>
    <t>3206014</t>
  </si>
  <si>
    <t>Servicio de producción de plántulas en viveros</t>
  </si>
  <si>
    <t>Plántulas producidas</t>
  </si>
  <si>
    <t>AGR-45-2026 Apoyo a la producción de plántulas</t>
  </si>
  <si>
    <t>0312 - 2.3.2.02.02.009.00.00.00.3206014.24068 - 20</t>
  </si>
  <si>
    <t>Servicio de apoyo técnico para la implementación de acciones de mitigación y adaptación al cambio climático</t>
  </si>
  <si>
    <t>Pilotos con acciones de mitigación y adaptación al cambio climático desarrollados</t>
  </si>
  <si>
    <t>AGR-46-2026 Apoyo técnico para la implementación de acciones de mitigación y adaptación</t>
  </si>
  <si>
    <t>0312 - 2.3.2.02.02.008.00.00.00.3206003.24068 - 20</t>
  </si>
  <si>
    <t xml:space="preserve">Educación ambiental </t>
  </si>
  <si>
    <t>3208010</t>
  </si>
  <si>
    <t>Servicio de educación informal ambiental</t>
  </si>
  <si>
    <t>Apoyo a campañas de sensibilización y apropiación del patrimonio ambiental del paisaje, la biodiversidad y sus servicios ecosistémicos Quindio</t>
  </si>
  <si>
    <t>AGR-47-2026 Capacitar a la población del departamento del Quindío, a través de acciones de educación ambiental</t>
  </si>
  <si>
    <t>0312 - 2.3.2.02.02.009.00.00.00.3208010.24080 - 20</t>
  </si>
  <si>
    <t>Gobierno territorial</t>
  </si>
  <si>
    <t>4501048</t>
  </si>
  <si>
    <t>Servicio de apoyo para el acceso a la justicia policiva</t>
  </si>
  <si>
    <t>450104800</t>
  </si>
  <si>
    <t>Estrategias implementadas</t>
  </si>
  <si>
    <t>Implementación y articulación de la ruta integral de atención para la protección y bienestar animal en el Departamento del Quindío</t>
  </si>
  <si>
    <t>AGR-48-2026 Estructuración , definición , implementacion y evaluación de estrategias para la estandarización de la Ruta Atención Integral de Protección y Bienestar Animal</t>
  </si>
  <si>
    <t>0312 - 2.3.2.02.02.009.00.00.00.4501048.24062 - 20</t>
  </si>
  <si>
    <t>4501049</t>
  </si>
  <si>
    <t>AGR-49-2026 Diseño y desarrollo de estrategias de educación no formal para la promoción de la protección y el bienestar animal</t>
  </si>
  <si>
    <t>0312 - 2.3.2.02.02.009.00.00.00.4501049.24062 - 20</t>
  </si>
  <si>
    <t>Servicio de atención integral a la fauna</t>
  </si>
  <si>
    <t>Animales atendidos</t>
  </si>
  <si>
    <t>AGR-50-2026 Atención integral de animales a través de la prevención, diagnóstico y cura de enfermedades, que permitan garantizar la protección y el bienestar animal de la fauna</t>
  </si>
  <si>
    <t>0312 - 2.3.2.02.02.008.00.00.00.4501061.24062 - 20</t>
  </si>
  <si>
    <t>Infraestructura para el bienestar animal adecuada</t>
  </si>
  <si>
    <t>AGR-51-2026 Adecuar la infraestructura destinada para la protección y el bienestar animal con elementos y/o productos metálicos</t>
  </si>
  <si>
    <t xml:space="preserve">0312 - 2.3.2.02.01.004.00.00.00. 4501060. 24062 -20 </t>
  </si>
  <si>
    <t>Servicio de apoyo financiero para la atención integral de animales</t>
  </si>
  <si>
    <t>450106300</t>
  </si>
  <si>
    <t>Prestadores del servicio de atención integral de animales apoyados</t>
  </si>
  <si>
    <t>AGR-52-2026 Apoyar los prestadores del servicio de atención integral de animales, con el suministro de productos de consumo animal.</t>
  </si>
  <si>
    <t xml:space="preserve">0312 - 2.3.2.02.01.002.00.00.00.4501063.24062 - 20 </t>
  </si>
  <si>
    <t>Ordenamiento social y uso productivo del territorio rural</t>
  </si>
  <si>
    <t>Servicio de información para la planificación agropecuaria</t>
  </si>
  <si>
    <t>Información actualizada</t>
  </si>
  <si>
    <t>Fortalecimiento de procesos de ordenamiento productivo y social territorial en el Departamento del Quindío</t>
  </si>
  <si>
    <t>AGR-53-2026 Actualización de los servicios de información con instrumentos y/o herramientas de planeación, para el uso eficiente y adecuado del suelo en departamento del Quindío.</t>
  </si>
  <si>
    <t>0312 - 2.3.2.02.02.009.00.00.00.1704006.24056 - 20</t>
  </si>
  <si>
    <t>AGR-54-2026 Suministro de servicios de logística, alimentación y bebidas para el desarrollo de jornadas de recolección, análisis y socialización de información agropecuaria en el Departamento</t>
  </si>
  <si>
    <t>0312 - 2.3.2.02.02.006.00.00.00.1704006.24056 - 20</t>
  </si>
  <si>
    <t>Ambiente y Desarrollo Sostenible</t>
  </si>
  <si>
    <t>Servicio de educación informal en el marco de la conservación de la biodiversidad y los Servicios ecosistémicos</t>
  </si>
  <si>
    <t xml:space="preserve"> Fortalecimiento de  los procesos de educación ambiental destinadas a los lideres ambientales en el marco de la conservación de la biodiversidad y los Servicio ecosistemicos en el Departamento del Quindío</t>
  </si>
  <si>
    <t>AGR-55-2026 Realizar acciones de capacitación en educación ambiental</t>
  </si>
  <si>
    <t>0312 - 2.3.2.02.02.008.00.00.00.3202014.24144 - 20</t>
  </si>
  <si>
    <t>AGR-56-2026 Apoyar los prestadores del servicio de atención integral de animales para suministro de productos de uso veterinario</t>
  </si>
  <si>
    <t xml:space="preserve"> 0312 - 2.3.2.02.01.003.00.00.00.4501063.24062 - 20</t>
  </si>
  <si>
    <t>BRAYAN STIVEN NARANJO RAIGOZA</t>
  </si>
  <si>
    <t>Secretario de Agricultura, Desarrollo Rural y Medio Ambiente</t>
  </si>
  <si>
    <t>PROGRAMACIÓN PLAN DE ACCIÓN 
SECRETARÍA:   INDUSTRIA, COMERCIO Y TURISMO      AÑO:  2026</t>
  </si>
  <si>
    <t>Convergencia Territorial.  “Quindío interconectado territorialmente, donde el progreso y las oportunidades llegan a todos los rincones”</t>
  </si>
  <si>
    <t>Servicio de apoyo y consolidación de las Comisiones Regionales de Competitividad - CRC</t>
  </si>
  <si>
    <t>Planes de trabajo concertados con las CRC para su consolidación</t>
  </si>
  <si>
    <t>Asistencia para fomentar el desarrollo la competitividad y productividad empresarial en el departamento del Quindío</t>
  </si>
  <si>
    <t>TUR-1-2026  Apoyar la ejecución del Plan de Acción de la Comisión Regional de Competitividad presentando propuestas para el mejoramiento de los procesos asociados al mismo que optimice sus resultados.</t>
  </si>
  <si>
    <t>0311 - 2.3.2.02.02.009.00.00.00.3502006.24055 - 20</t>
  </si>
  <si>
    <t xml:space="preserve">Secretario de industria y comercio </t>
  </si>
  <si>
    <t>TUR-2-2026 Articular y acompañar el Plan de acciòn de la Comisiòn Regional de Competitividad desde el proceso de internacionalizaciòn para el acceso a nuevos mercados del sector empresarial</t>
  </si>
  <si>
    <t>TUR-3-2026 Asistencia tècnica dirigida a los diferentes clíuster del departamento</t>
  </si>
  <si>
    <t>0311 - 2.3.2.02.02.009.00.00.00.3502007.24055 - 20</t>
  </si>
  <si>
    <t>TUR-4-2026 Fortalecimiento a las iniciativas Clùster para alcanzar la competitividad y productividad de las empresas</t>
  </si>
  <si>
    <t>Servicio de información sobre el sector artesanal</t>
  </si>
  <si>
    <t xml:space="preserve">TUR-5-2026 Caracterizaciòn y sistematización  del sector del sector artesanal </t>
  </si>
  <si>
    <t>0311 - 2.3.2.02.02.009.00.00.00.3502107.24055 - 20</t>
  </si>
  <si>
    <t>Ciencia, tecnología e innovación</t>
  </si>
  <si>
    <t>Fomento a vocaciones y formación, generación, uso y apropiación social del conocimiento de la ciencia, tecnología e innovación</t>
  </si>
  <si>
    <t>Servicio de Asistencia Técnica</t>
  </si>
  <si>
    <t>Asistencias Técnicas Realizadas</t>
  </si>
  <si>
    <t>Contribución al índice de ciencia, tecnología e innovación que promueva la innovación empresarial, el emprendimiento en el departamento del Quindío</t>
  </si>
  <si>
    <t xml:space="preserve">TUR-6-2026 Construciones de herramienta de gestión y conocimiento que promuevan la innovacion empresarial, el emprendimiento en el departamento </t>
  </si>
  <si>
    <t>0311 - 2.3.2.02.02.008.00.00.00.3906014.24054 - 20</t>
  </si>
  <si>
    <t xml:space="preserve">TUR-7-2026 Apoyo en asistencia Técnica para la innovación empresarial </t>
  </si>
  <si>
    <t>0311 - 2.3.2.02.02.009.00.00.00.3906014.24054 - 20</t>
  </si>
  <si>
    <t>Servicios de apoyo financiero para programas y proyectos de CTI que promueven la innovación, la transferencia tecnológica y el emprendimiento</t>
  </si>
  <si>
    <t>390600900-</t>
  </si>
  <si>
    <t>Programas y proyectos financiados</t>
  </si>
  <si>
    <t>TUR-8-2026 Fortalecimiento dirigido a los sectores de ciencia tecnología e innovación a través de la utilización de herramientas tecnológicas que generen mayor competitividad al departamento</t>
  </si>
  <si>
    <t>0311 - 2.3.2.02.02.009.00.00.00.3906009.24054 - 20</t>
  </si>
  <si>
    <t>TUR-9-2026 Apoyar fincieramente programas y proyectos de CTI que promueven la innovación, la transferencia tecnológica y el emprendimiento</t>
  </si>
  <si>
    <t>0311 - 2.3.2.02.02.008.00.00.00.3906009.24054 - 20</t>
  </si>
  <si>
    <t>Fortalecimiento al seguimiento de planes y políticas públicas para la gobernanza local sostenible del Quindío</t>
  </si>
  <si>
    <t xml:space="preserve">TUR-10-2026 Seguimiento al  Plan Estrategico de Turismo (PET), a travès de las diferentes herramientas metodològicas </t>
  </si>
  <si>
    <t>0311 - 2.3.2.02.02.009.00.00.00.4599001.24065 - 20</t>
  </si>
  <si>
    <t>Servicio de asistencia técnica a los entes territoriales para el desarrollo turístico</t>
  </si>
  <si>
    <t>Desarrollo de lineamientos del Plan Estratégico de Turismo (PET) fomentando la práctica responsable y competitiva del sector en el departamento del Quindío</t>
  </si>
  <si>
    <t>TUR-11-2026  Aplicación ruta de la formalidad, Tarjeta de Registro de Alojamiento (TRA) en los establecimientos turísticos en los municipios del departamento, divulgación del programa Colegios Amigos del Turismo</t>
  </si>
  <si>
    <t>0311 - 2.3.2.02.02.009.00.00.00.3502039.24069 - 20</t>
  </si>
  <si>
    <t>TUR-12-2026 Asistencia técnica enfocada en el Registro Nacional de Turismo (RNT) y la Norma Técnica Sectorial 002 (NTS-TS) y en procesos de la creación y desarrollo de nuevos emprendimientos y nuevos productos de turismo en sus tipologías (naturaleza, de base comunitaria, gastronómico, MICE, bienestar, recreativo, etc.)</t>
  </si>
  <si>
    <t>TUR-13-2026 Acompañar las mesas de trabajo del sector turismo como al Comité Regional del PCCC (desarrollo turístico y conservación áreas naturales) además del seguimiento y aporte desde el Gobierno del Quindío a los procesos que estén encaminados al cumplimiento de la Sentencia de Tutela STL 10716 del PNN Los Nevados.</t>
  </si>
  <si>
    <t>TUR-14-2026  Asistencia tècnica a entes territoriales para la Recertificación de calidad Norma Tècnica Sectorial TS 001-01</t>
  </si>
  <si>
    <t>TUR-15-2026 Asistencia a las brigadas de sensibilización del ESCNNA, código de conducta, Flagelos contra el turismo (CIETI), aplicación del Manual "Turismo para Todos”</t>
  </si>
  <si>
    <t>Proyectos de infraestructura turística apoyados</t>
  </si>
  <si>
    <t>TUR-16-2026 Apoyo en el diseño y ejecución del proyecto de infraestructura turística</t>
  </si>
  <si>
    <t>0311 - 2.3.2.02.02.008.00.00.00.3502039.24069 - 20</t>
  </si>
  <si>
    <t>Servicios de apoyo para el fomento de capacidades en economía circulary sostenibilidad</t>
  </si>
  <si>
    <t>Empresas intervenidas en temas de economía circular y sostenibilidad</t>
  </si>
  <si>
    <t>TUR-17-2026  Asistencias tècnicas enfocadas en la sensibilización y fortalecimiento de la cultura de la sostenibilidad en el sector turìstico, que generen impactos positivos a travès de la implementación  de la económia circular</t>
  </si>
  <si>
    <t>0311 - 2.3.2.02.02.009.00.00.00.3502095.24069 - 20</t>
  </si>
  <si>
    <t>TUR-18-2026 Divulgación de herramientas de utilidad para los emprendimientos, encaminados al fortalecimiento de la sostenibilidad y uso de las normas técnicas colombianas de turismo sostenible</t>
  </si>
  <si>
    <t>Documentos de investigación sobre turismo</t>
  </si>
  <si>
    <t>Documentos sobre medición y análisis de información turística realizados</t>
  </si>
  <si>
    <t>TUR-19-2026  Elaboración de los  estudios de capacidad de carga turistica en municipios del departamento del Quindío</t>
  </si>
  <si>
    <t>0311 - 2.3.2.02.02.009.00.00.00.3502094.24069 - 20</t>
  </si>
  <si>
    <t>Documentos de planeación elaborados</t>
  </si>
  <si>
    <t>TUR-20-2026  Actualización de Plan Estrategico de Turismo</t>
  </si>
  <si>
    <t>0311 - 2.3.2.02.02.009.00.00.00.3502047.24069 - 20</t>
  </si>
  <si>
    <t>Servicio de promoción turística</t>
  </si>
  <si>
    <t>Campañas realizadas</t>
  </si>
  <si>
    <t>Optimización en la difusión y promoción de la marca "Quindío corazón de Colombia" siguiendo los lineamientos del Plan Estratégico de Turismo (PET) Quindío</t>
  </si>
  <si>
    <t>TUR-21-2026 Impresos para la difusiòn de programas y campañas institucionales</t>
  </si>
  <si>
    <t>0311 - 2.3.2.02.02.008.00.00.00.3502046.24061 - 52</t>
  </si>
  <si>
    <t>TURISMO Y CULTURA  4%</t>
  </si>
  <si>
    <t xml:space="preserve">TUR-22-2026  Adquisición de equipos muebles para uso institucional y/o de servicios misionales de la entidad </t>
  </si>
  <si>
    <t>0311 - 2.3.2.02.01.003.00.00.00.3502046.24061 - 20</t>
  </si>
  <si>
    <t>TUR-23-2026  Servicios de catering para cubrir los diferentes eventos y actividades</t>
  </si>
  <si>
    <t>0311 - 2.3.2.02.02.006.00.00.00.3502046.24061 - 52</t>
  </si>
  <si>
    <t>TUR-24-2026 Implementar estrategias de promoción turística a nivel nacional e internacional con el fin de impulsar, difundir y posicionar la marca QUINDIO CORAZON DE COLOMBIA.</t>
  </si>
  <si>
    <t>0311 - 2.3.2.02.02.009.00.00.00.3502046.24061 - 52</t>
  </si>
  <si>
    <t>TUR-25-2026 Implementación del plan de medios para el fortalecimiento de la competittividad del destino y la promoción de la marca QUINDIO CORAZON DE COLOMBIA.</t>
  </si>
  <si>
    <t>TUR-26-2026  Apoyo en las actividades y campañas de promoción turistica realizadas y/o organizadas por la entidad que buscan el posicionamiento de la marca, Quindío corazón de Colombia</t>
  </si>
  <si>
    <t>Eventos de promoción realizados</t>
  </si>
  <si>
    <t>TUR-27-2026  Apoyar los procesos de ejecución de actividades para la promoción turística del destino Quindío que se llevan a cabo en los municipios</t>
  </si>
  <si>
    <t>Trabajo</t>
  </si>
  <si>
    <t>Generación y formalización del empleo</t>
  </si>
  <si>
    <t>Servicios de apoyo financiero para la creación de empresas</t>
  </si>
  <si>
    <t>Planes de negocio financiados</t>
  </si>
  <si>
    <t>Fortalecimiento, implementación y articulación del ecosistema del emprendimiento y del sector trabajo en el departamento del Quindío</t>
  </si>
  <si>
    <t>TUR-28-2026  Fondo departamental de emprendimiento del Quindío</t>
  </si>
  <si>
    <t>0311 - 2.3.2.02.02.007.00.00.00.3602018.24058 - 01</t>
  </si>
  <si>
    <t>IMPUESTO AL REGISTRO</t>
  </si>
  <si>
    <t>Servicio de asesoría técnica para el emprendimiento</t>
  </si>
  <si>
    <t>Emprendimientos asesorados</t>
  </si>
  <si>
    <t>TUR-29-2026  Apoyo a ferias y/o emprendimientos de los diferentes sectores económicos del departamento</t>
  </si>
  <si>
    <t>0311 - 2.3.2.02.02.009.00.00.00.3602032.24058 - 20</t>
  </si>
  <si>
    <t>TUR-30-2026  Apoyo a procesos y actividades direccionadas a fortalecer las capacidades de los emprendedores y empresarios del departamento del Quindío</t>
  </si>
  <si>
    <t>Servicio de orientación laboral</t>
  </si>
  <si>
    <t>Personas orientadas laboralmente</t>
  </si>
  <si>
    <t xml:space="preserve">TUR-31-2026 Impelementación estrategia  de orientación laboral </t>
  </si>
  <si>
    <t>0311 - 2.3.2.02.02.009.00.00.00.3602005.24058 - 20</t>
  </si>
  <si>
    <t>JUANA CAMILA GOMEZ ZAMORANO</t>
  </si>
  <si>
    <t>Secretaria de Turismo, Industria y Comercio</t>
  </si>
  <si>
    <t xml:space="preserve">Fortalecimiento de la Política de Transparencia, acceso a la Información Pública y Lucha contra la Corrupción integrada del Modelo de Planificación y Gestión (MIPG) en la Administración Departamental del   Quindio </t>
  </si>
  <si>
    <t>PRI-1-2026 Garantizar el adecuado desarrollo de las jornadas de capacitación, sensibilización y articulación en materia de integridad, transparencia, atención al ciudadano y Modelo Integrado de Planeación y Gestión (MIPG).</t>
  </si>
  <si>
    <t>0313 - 2.3.2.02.02.006.00.00.00.4599023.24021 - 20</t>
  </si>
  <si>
    <t>RECURSOS ORDINARIOS</t>
  </si>
  <si>
    <t>Secretario Privado</t>
  </si>
  <si>
    <t>PRI-2-2026 Fortalecer las capacidades de los funcionarios y contratistas en materia de transparencia, integridad, Modelo Integrado de Planeación y Gestión (MIPG) y demás sistemas de gestión, garantizando el cumplimiento normativo y la mejora continua de los procesos institucionales.</t>
  </si>
  <si>
    <t>0313 - 2.3.2.02.02.009.00.00.00.4599023.24021-20</t>
  </si>
  <si>
    <t>459902900</t>
  </si>
  <si>
    <t>Aplicación de la Ley de transparencia y del derecho de acceso a la información pública nacional a las estrategias de comunicación y oferta publica en el departamento Quindío</t>
  </si>
  <si>
    <t>PRI-3-2026   implementacion de la estrategia de comunicaciones interna y externa del gobierno departamental</t>
  </si>
  <si>
    <t>0313 - 2.3.2.02.02.009.00.00.00.4599029.24027 - 20</t>
  </si>
  <si>
    <t>PRI-4-2026  ejecucion plan de medios (radio,prensa,revistas, television,portal web, redes sociales, BTL-ATL) revision y desarrollo de la estrategia de comunicaciones del gobierno del Quindio</t>
  </si>
  <si>
    <t>4502</t>
  </si>
  <si>
    <t>Fortalecimiento de las habilidades institucionales de la administración departamental, a través de espacios de participación ciudadana, gestión eficaz y transparente en el departamento del Quindío.</t>
  </si>
  <si>
    <t>PRI-5-2026 Planeación, ejecución, desarrollo y seguimiento de actividades, talleres, eventos y encuentros cuidadanos en aplicación de la política de transparencia, acceso a la información pública y lucha contra la corrupción del departamento del Quindío.</t>
  </si>
  <si>
    <t>0313 - 2.3.2.02.02.009.00.00.00.4502001.24031 - 20</t>
  </si>
  <si>
    <t>PRI-6-2026 Adecuado desarrollo de las actividades, talleres, eventos y encuentros cuidadanos en aplicación de la política de transparencia, acceso a la información pública y lucha contra la corrupción del departamento del Quindío.</t>
  </si>
  <si>
    <t>0313 - 2.3.2.02.02.006.00.00.00.4502001.24031 - 20</t>
  </si>
  <si>
    <t>PRI-7-2026 Servicios logísticos por y para los campesinos del Quindío</t>
  </si>
  <si>
    <t>PRI-8-2026 Apoyo para la prestación de servicios de ambulancia y primeros auxilios para garantizar la seguridad incluyendo la elaboración y ejecución de planes de contingencia ante posibles emergencias en los eventos para los campesinos del Quindío</t>
  </si>
  <si>
    <t>0313 - 2.3.2.02.02.008.00.00.00.4502001.24031 - 20</t>
  </si>
  <si>
    <t>PRI-9-2026 Bienestar para la integración y el fortalecimiento de los hogares por y para los campesinos del Quindío</t>
  </si>
  <si>
    <t>0313 - 2.3.2.01.01.003.01.06.00.4502001.24031 - 20</t>
  </si>
  <si>
    <t>PRI-10-2026 Bienestar para la integración y el fortalecimiento de los hogares por y para los campesinos del Quindío</t>
  </si>
  <si>
    <t>0313 - 2.3.2.01.01.003.01.04.00.4502001.24031 - 20</t>
  </si>
  <si>
    <t>PRI-11-2026 Bienestar para la integración y el fortalecimiento de los hogares por y para los campesinos del Quindío</t>
  </si>
  <si>
    <t>0313 - 2.3.2.01.01.003.05.02.00.4502001.24031 - 20</t>
  </si>
  <si>
    <t>PRI-12-2026 Bienestar para la integración y el fortalecimiento de los hogares por y para los campesinos del Quindío</t>
  </si>
  <si>
    <t>0313 - 2.3.2.01.01.003.07.07.02.4502001.24031 - 20</t>
  </si>
  <si>
    <t>PRI-13-2026 Bienestar para la integración y el fortalecimiento de los hogares por y para los campesinos del Quindío</t>
  </si>
  <si>
    <t>0313 - 2.3.2.02.01.003.00.00.00.4502001.24031 - 20</t>
  </si>
  <si>
    <t>PRI-14-2026 Bienestar para la integración y el fortalecimiento de los hogares por y para los campesinos del Quindío</t>
  </si>
  <si>
    <t>0313 - 2.3.2.01.01.004.01.01.05.4502001.24031 - 20</t>
  </si>
  <si>
    <t>PRI-15-2026 Mejores herramientas para el fortalecimiento de la producción agropecuaria por y para los campesinos del Quindío</t>
  </si>
  <si>
    <t>0313 - 2.3.2.01.01.003.02.01.00.4502001.24031 - 20</t>
  </si>
  <si>
    <t>PRI-16-2026 Fortalecimiento de la Identidad cultural por y para los campesinos del Quindío</t>
  </si>
  <si>
    <t>0313 - 2.3.2.02.01.002.00.00.00.4502001.24031 - 20</t>
  </si>
  <si>
    <t>AMANDA TANGARIFE CORREA</t>
  </si>
  <si>
    <t>Educación</t>
  </si>
  <si>
    <t>Documentos de estudios técnicos</t>
  </si>
  <si>
    <t>Documentos de estudios técnicos realizados</t>
  </si>
  <si>
    <t>Fortalecimiento de la gestión de la información del sector educativo en el departamento del Quindío</t>
  </si>
  <si>
    <t>EDU-1-2026  Fortalecimiento de los procesos de gestión de la información en función de la gestión educativa territorial</t>
  </si>
  <si>
    <t>0314 - 2.3.2.02.02.009.00.00.00.2201087.24019 - 20</t>
  </si>
  <si>
    <t xml:space="preserve"> RECURSO ORDINARIO </t>
  </si>
  <si>
    <t>Secretaría de Educación Departamental del Quindío</t>
  </si>
  <si>
    <t>Calidad y fomento de la educación superior</t>
  </si>
  <si>
    <t>Servicio de apoyo financiero para el acceso y permanencia a la educación superior</t>
  </si>
  <si>
    <t>Beneficiarios de estrategias o programas de apoyo financiero para el acceso y la permanencia en la educación superior</t>
  </si>
  <si>
    <t>Fortalecimiento de la cobertura educativa en la educación superior con más acceso y permanencia del departamento del Quindío</t>
  </si>
  <si>
    <t>EDU-2-2026 Fortalecimiento del Fondo de Apoyo para el acceso y la permanencia de la educación técnica, tecnológica y superior</t>
  </si>
  <si>
    <t>0314 - 2.3.2.02.02.009.00.00.00.2202065.24020 - 20</t>
  </si>
  <si>
    <t>EDU-3-2026 Articulación de la Educación Media con la Educación Superior</t>
  </si>
  <si>
    <t>EDU-4-2026  Transferencias a la Universidad del Quindío en cumplimiento a la Ley 30 de 1992</t>
  </si>
  <si>
    <t>0314 - 2.3.3.05.09.015.00.00.00.2202065.24020 - 20</t>
  </si>
  <si>
    <t>EDU-5-2026 Transferencias a la Universidad del Quindío en cumplimiento a la Ley 30 de 1992</t>
  </si>
  <si>
    <t>0314 - 2.3.3.05.09.015.00.00.00.2202065.24020 - 01</t>
  </si>
  <si>
    <t>IMPUESTO AL REGISTRO 20% FONPET</t>
  </si>
  <si>
    <t>EDU-6-2026  Diseño e implementación de estrategias que estimulen el acceso y la permanencia en la educación superior</t>
  </si>
  <si>
    <t>EDU-7-2026 Diseño e implementación de estrategias que estimulen el acceso y la permanencia en la educación superior</t>
  </si>
  <si>
    <t>0314 - 2.3.2.02.02.008.00.00.00.2202065.24020 - 20</t>
  </si>
  <si>
    <t>Servicio de asistencia técnica en educación inicial, preescolar, básica y media</t>
  </si>
  <si>
    <t xml:space="preserve"> Entidades y organizaciones asistidas técnicamente</t>
  </si>
  <si>
    <t>Fortalecimiento institucional que consolide la calidad educativa con inclusión y equidad como estrategia de permanencia en la educación inicial preescolar, básica y media en el departamento del Quindío</t>
  </si>
  <si>
    <t>EDU-8-2026 Fortalecimiento de la Educación Ambiental y del Plan de Gestión del Riesgo Escolar</t>
  </si>
  <si>
    <t>0314 - 2.3.2.02.02.009.00.00.00.2201006.24022 - 20</t>
  </si>
  <si>
    <t>EDU-9-2026 Fortalecimiento de los programas de mejoramiento de la calidad educativa (Jornada Única)</t>
  </si>
  <si>
    <t>EDU-10-2026 Fortalecimiento a los procesos de evaluación en las instituciones educativas del departamento</t>
  </si>
  <si>
    <t>0314 - 2.3.3.05.09.053.00.00.00.2201006.24022 - 20</t>
  </si>
  <si>
    <t>EDU-11-2026 Educación de Adultos y Modelos Flexibles</t>
  </si>
  <si>
    <t>EDU-12-2026 Plan de Apoyo al Mejoramiento Institucional (Autoevaluación y Plan de Mejoramiento)</t>
  </si>
  <si>
    <t>EDU-13-2026  Fortalecimiento de Redes de Aprendizaje</t>
  </si>
  <si>
    <t>EDU-14-2026  Fortalecimiento de la Articulación de la Media Técnica - Asistencia Técnica</t>
  </si>
  <si>
    <t>EDU-15-2026  Fortalecimiento de la Articulación de la Media Técnica - Transferencia</t>
  </si>
  <si>
    <t>EDU-16-2026 Programa de Tutorías Para el Aprendizaje y la Formación Integral - PTA FI 3.0</t>
  </si>
  <si>
    <t>EDU-17-2026  Fortalecimiento en el Uso y Apropiación de Medios y Recursos Tecnológicos (Técnica y Apropiación)</t>
  </si>
  <si>
    <t>Servicio educativo de promoción del bilingüismo</t>
  </si>
  <si>
    <t>Estudiantes beneficiados con estrategias de promoción del bilingüismo</t>
  </si>
  <si>
    <t>EDU-18-2026  Asistencia técnico - pedagógica para el fortalecimiento de la enseñanza y el aprendizaje del inglés</t>
  </si>
  <si>
    <t>0314 - 2.3.2.02.02.009.00.00.00.2201034.24022 - 20</t>
  </si>
  <si>
    <t>EDU-19-2026 Fortalecimiento de actividades lúdico - pedagógicas para potencializar las habilidades lingüísticas en una segunda lengua</t>
  </si>
  <si>
    <t>0314 - 2.3.3.05.09.053.00.00.00.2201034.24022 - 20</t>
  </si>
  <si>
    <t>Servicio de atención integral para la primera infancia</t>
  </si>
  <si>
    <t>Instituciones educativas oficiales que implementan el nivel preescolar en el marco de la atención integral</t>
  </si>
  <si>
    <t>EDU-20-2026  Fortalecimiento del nivel de preescolar en las Instituciones Educativas Oficiales</t>
  </si>
  <si>
    <t>0314 - 2.3.2.02.02.009.00.00.00.2201037.24022 - 20</t>
  </si>
  <si>
    <t>EDU-21-2026  Fortalecimiento del nivel de preescolar en las Instituciones Educativas Oficiales</t>
  </si>
  <si>
    <t>0314 - 2.3.2.02.01.003.00.00.00.2201037.24022 - 20</t>
  </si>
  <si>
    <t>Servicios de apoyo a la implementación de modelos de innovación educativa</t>
  </si>
  <si>
    <t>Establecimientos educativos apoyados para la implementación de modelos de innovación educativa</t>
  </si>
  <si>
    <t>EDU-22-2026 Asistencia Técnica en Innovación Educativa</t>
  </si>
  <si>
    <t>0314 - 2.3.2.02.02.009.00.00.00.2201047.24022 - 20</t>
  </si>
  <si>
    <t>EDU-23-2026 Fortalecimiento de la cultura del emprendimiento escolar en el Departamento del Quindío</t>
  </si>
  <si>
    <t>0314 - 2.3.2.02.02.008.00.00.00.2201047.24022 - 20</t>
  </si>
  <si>
    <t>Servicio de accesibilidad a contenidos web para fines pedagógicos</t>
  </si>
  <si>
    <t>Estudiantes con acceso a contenidos web en el establecimiento educativo</t>
  </si>
  <si>
    <t>EDU-24-2026 Servicio de conectividad escolar para fortalecer las prácticas de enseñanza y aprendizaje en los establecimientos educativos del departamento</t>
  </si>
  <si>
    <t>0314 - 2.3.2.02.02.008.00.00.00.2201050.24022 - 25</t>
  </si>
  <si>
    <t>25</t>
  </si>
  <si>
    <t>SISTEMA GENERAL D EPARTICIPACION EDUCACION</t>
  </si>
  <si>
    <t>EDU-136-2026Servicio de conectividad escolar para fortalecer las prácticas de enseñanza y aprendizaje en los establecimientos educativos del departamento</t>
  </si>
  <si>
    <t>1404- 2.3.2.02.02.008.00.00.00.2201050.24022 - 25</t>
  </si>
  <si>
    <t>Servicio de fomento para la prevención de riesgos sociales en entornos escolares</t>
  </si>
  <si>
    <t>Entidades territoriales con estrategias para la prevención de riesgos sociales en los entornos escolares implementadas</t>
  </si>
  <si>
    <t>EDU-25-2026  Fortalecimiento de procesos de formación situada a miembros de la comunidad educativa sobre riesgos sociales en los 11 municipios no certificados en educación</t>
  </si>
  <si>
    <t>0314 - 2.3.2.02.02.009.00.00.00.2201054.24022 - 20</t>
  </si>
  <si>
    <t>Servicio de apoyo para el fortalecimiento de escuelas de padres</t>
  </si>
  <si>
    <t>Escuelas de padres apoyadas</t>
  </si>
  <si>
    <t>EDU-26-2026 Fortalecimiento de las escuelas de padres en las instituciones educativas del departamento</t>
  </si>
  <si>
    <t>0314 - 2.3.2.02.02.009.00.00.00.2201067.24022 - 20</t>
  </si>
  <si>
    <t>Servicio de fortalecimiento a las capacidades de los docentes de educación Inicial, preescolar, básica y media</t>
  </si>
  <si>
    <t>Docentes y agentes educativos de educación inicial, preescolar, básica y media beneficiados con estrategias de mejoramiento de sus capacidades</t>
  </si>
  <si>
    <t>EDU-27-2026 Servicios para el fortalecimiento a la capacidad de los docentes, directivos docentes y agentes educativos</t>
  </si>
  <si>
    <t>0314 - 2.3.2.02.02.009.00.00.00.2201074.24022 - 20</t>
  </si>
  <si>
    <t>Servicio de apoyo a la atención integral para la convivencia escolar</t>
  </si>
  <si>
    <t>Sedes educativas apoyadas en la implementación de la ruta de atención integral para la convivencia escolar</t>
  </si>
  <si>
    <t>EDU-28-2026 Fortalecimiento de los comités de convivencia escolar</t>
  </si>
  <si>
    <t>0314 - 2.3.2.02.02.009.00.00.00.2201081.24022 - 20</t>
  </si>
  <si>
    <t>Servicio de fomento para el acceso a la educación inicial, preescolar, básica y media</t>
  </si>
  <si>
    <t>Personas beneficiadas con estrategias de fomento para el acceso a la educación inicial, preescolar, básica y media</t>
  </si>
  <si>
    <t>Fortalecimiento en la oferta, el acceso y permanencia escolar en la educación inicial, preescolar, básica y media en el departamento del Quindío</t>
  </si>
  <si>
    <t>EDU-29-2026  Fortalecimiento de campañas publicitarias que fomenten el acceso y la permanencia escolar</t>
  </si>
  <si>
    <t>0314 - 2.3.2.02.02.008.00.00.00.2201017.24023 - 20</t>
  </si>
  <si>
    <t>EDU-30-2026 Fortalecimiento y Ampliación de la Oferta Educativa</t>
  </si>
  <si>
    <t>0314 - 2.3.2.02.02.009.00.00.00.2201017.24023 - 20</t>
  </si>
  <si>
    <t>EDU-31-2026  Fortalecimiento de Estrategias de Acceso y Permanencia</t>
  </si>
  <si>
    <t>EDU-32-2026  Fortalecimiento de Estrategias de Acceso y Permanencia</t>
  </si>
  <si>
    <t>0314 - 2.3.2.02.01.002.00.00.00.2201017.24023 - 20</t>
  </si>
  <si>
    <t>Servicio de apoyo a la permanencia con alimentación escolar</t>
  </si>
  <si>
    <t>Raciones Contratadas</t>
  </si>
  <si>
    <t>EDU-33-2026 Contratación del Operador del Programa de Alimentación Escolar</t>
  </si>
  <si>
    <t>0314 - 2.3.2.02.02.006.00.00.00.2201028.24023 - 81</t>
  </si>
  <si>
    <t>81</t>
  </si>
  <si>
    <t>TRANSFERENCIAS DE LA NACION POR ALIMENTACION PAE</t>
  </si>
  <si>
    <t>EDU-137-2026  Contratación del Operador del Programa de Alimentación Escolar</t>
  </si>
  <si>
    <t>1404 - 2.3.2.02.02.006.00.00.00.2201028.24023 - 81</t>
  </si>
  <si>
    <t>EDU-34-2026  Contratación equipo PAE según resolución 335 del 2021 - UApA</t>
  </si>
  <si>
    <t>0314 - 2.3.2.02.02.009.00.00.00.2201028.24023 - 81</t>
  </si>
  <si>
    <t>EDU-138-2026  Contratación equipo PAE según resolución 335 del 2021 - UApA</t>
  </si>
  <si>
    <t>1404 - 2.3.2.02.02.009.00.00.00.2201028.24023 - 81</t>
  </si>
  <si>
    <t>EDU-35-2026 Bolsa Comisionista</t>
  </si>
  <si>
    <t>0314 - 2.3.2.02.02.008.00.00.00.2201028.24023 - 20</t>
  </si>
  <si>
    <t xml:space="preserve"> Servicio de apoyo a la permanencia con transporte escolar</t>
  </si>
  <si>
    <t>Beneficiarios de transporte escolar</t>
  </si>
  <si>
    <t>EDU-36-2026  Cofinanciación del subsidio de transporte escolar rural - Buenavista</t>
  </si>
  <si>
    <t>0314 - 2.3.2.02.02.006.00.00.00.2201029.24023.00233 - 20</t>
  </si>
  <si>
    <t>EDU-37-2026  Cofinanciación del subsidio de transporte escolar rural - Calarcá</t>
  </si>
  <si>
    <t>0314 - 2.3.2.02.02.006.00.00.00.2201029.24023.00284 - 20</t>
  </si>
  <si>
    <t>EDU-38-2026  Cofinanciación del subsidio de transporte escolar rural - Circasia</t>
  </si>
  <si>
    <t>0314 - 2.3.2.02.02.006.00.00.00.2201029.24023.00412 - 20</t>
  </si>
  <si>
    <t>EDU-39-2026 Cofinanciación del subsidio de transporte escolar rural - Córdoba</t>
  </si>
  <si>
    <t>0314 - 2.3.2.02.02.006.00.00.00.2201029.24023.00470 - 20</t>
  </si>
  <si>
    <t>EDU-40-2026 Cofinanciación del subsidio de transporte escolar rural - Filandia</t>
  </si>
  <si>
    <t>0314 - 2.3.2.02.02.006.00.00.00.2201029.24023.02226 - 20</t>
  </si>
  <si>
    <t>EDU-41-2026  Cofinanciación del subsidio de transporte escolar rural - Génova</t>
  </si>
  <si>
    <t>0314 - 2.3.2.02.02.006.00.00.00.2201029.24023.02372 - 20</t>
  </si>
  <si>
    <t>EDU-42-2026 Cofinanciación del subsidio de transporte escolar rural - La Tebaida</t>
  </si>
  <si>
    <t>0314 - 2.3.2.02.02.006.00.00.00.2201029.24023.02882 - 20</t>
  </si>
  <si>
    <t>EDU-43-2026 Cofinanciación del subsidio de transporte escolar rural - Montenegro</t>
  </si>
  <si>
    <t>0314 - 2.3.2.02.02.006.00.00.00.2201029.24023.03013 - 20</t>
  </si>
  <si>
    <t>EDU-44-2026  Cofinanciación del subsidio de transporte escolar rural - Pijao</t>
  </si>
  <si>
    <t>0314 - 2.3.2.02.02.006.00.00.00.2201029.24023.03167 - 20</t>
  </si>
  <si>
    <t>EDU-45-2026 Cofinanciación del subsidio de transporte escolar rural - Quimbaya</t>
  </si>
  <si>
    <t>0314 - 2.3.2.02.02.006.00.00.00.2201029.24023.03244 - 20</t>
  </si>
  <si>
    <t>EDU-46-2026 Cofinanciación del subsidio de transporte escolar rural - Salento</t>
  </si>
  <si>
    <t>0314 - 2.3.2.02.02.006.00.00.00.2201029.24023.03303 - 20</t>
  </si>
  <si>
    <t>Servicio educación formal por modelos educativos flexibles</t>
  </si>
  <si>
    <t>Beneficiarios atendidos con modelos educativos flexibles</t>
  </si>
  <si>
    <t>EDU-47-2026 Fortalecimiento en la atención educativa para población con discapacidad</t>
  </si>
  <si>
    <t>0314 - 2.3.2.02.02.009.00.00.00.2201030.24023 - 25</t>
  </si>
  <si>
    <t>EDU-139-2026 Fortalecimiento en la atención educativa para población con discapacidad</t>
  </si>
  <si>
    <t>1404 - 2.3.2.02.02.009.00.00.00.2201030.24023 - 25</t>
  </si>
  <si>
    <t>EDU-48-2026 Fortalecimiento en la atención educativa para población con talentos y capacidades excepcionales</t>
  </si>
  <si>
    <t>EDU-140-2026 Fortalecimiento en la atención educativa para población con talentos y capacidades excepcionales</t>
  </si>
  <si>
    <t>Servicio de alfabetización</t>
  </si>
  <si>
    <t>Personas beneficiarias con modelos de alfabetización</t>
  </si>
  <si>
    <t>EDU-49-2026 Diseña e implementar estrategias de modelos de alfabetización en los 11 municipios no certificados en educación</t>
  </si>
  <si>
    <t>0314 - 2.3.2.02.02.009.00.00.00.2201032.24023 - 20</t>
  </si>
  <si>
    <t>Infraestructura educativa mantenida</t>
  </si>
  <si>
    <t>Sedes mantenidas</t>
  </si>
  <si>
    <t>EDU-50-2026 Fortalecimiento de la infraestructura educativa</t>
  </si>
  <si>
    <t>0314 - 2.3.2.02.02.009.00.00.00.2201062.24023 - 20</t>
  </si>
  <si>
    <t>EDU-51-2026 Fortalecimiento de la infraestructura educativa</t>
  </si>
  <si>
    <t>0314 - 2.3.2.02.02.005.00.00.00.2201062.24023 - 20</t>
  </si>
  <si>
    <t>Infraestructura educativa dotada</t>
  </si>
  <si>
    <t>EDU-52-2026 Adquirir y dotar de Mobiliario Escolar, material didáctico, pedagógico y tecnológico, así como dotación de menaje y equipos de cocina, en los diferentes ambientes escolares de los Establecimientos Educativos Oficiales urbanos o rurales del Departamento del Quindío</t>
  </si>
  <si>
    <t>0314 - 2.3.2.02.01.003.00.00.00.2201069.24023 - 20</t>
  </si>
  <si>
    <t>EDU-53-2026  Adquirir y dotar de Mobiliario Escolar, material didáctico, pedagógico y tecnológico, así como dotación de menaje y equipos de cocina, en los diferentes ambientes escolares de los Establecimientos Educativos Oficiales urbanos o rurales del Departamento del Quindío</t>
  </si>
  <si>
    <t>0314 - 2.3.2.02.01.003.00.00.00.2201069.24023 - 21</t>
  </si>
  <si>
    <t>21</t>
  </si>
  <si>
    <t>RENDIMIENTOS FINANCIEROS -SGP EDUCACION</t>
  </si>
  <si>
    <t>EDU-141-2026  Adquirir y dotar de Mobiliario Escolar, material didáctico, pedagógico y tecnológico, así como dotación de menaje y equipos de cocina, en los diferentes ambientes escolares de los Establecimientos Educativos Oficiales urbanos o rurales del Departamento del Quindío</t>
  </si>
  <si>
    <t>1404 - 2.3.2.02.01.003.00.00.00.2201069.24023 - 21</t>
  </si>
  <si>
    <t>EDU-54-2026  Adquirir y dotar de Mobiliario Escolar, material didáctico, pedagógico y tecnológico, así como dotación de menaje y equipos de cocina, en los diferentes ambientes escolares de los Establecimientos Educativos Oficiales urbanos o rurales del Departamento del Quindío</t>
  </si>
  <si>
    <t>0314 - 2.3.3.05.09.053.00.00.00.2201069.24023 - 25</t>
  </si>
  <si>
    <t>EDU-142-2026  Adquirir y dotar de Mobiliario Escolar, material didáctico, pedagógico y tecnológico, así como dotación de menaje y equipos de cocina, en los diferentes ambientes escolares de los Establecimientos Educativos Oficiales urbanos o rurales del Departamento del Quindío</t>
  </si>
  <si>
    <t>1404 - 2.3.3.05.09.053.00.00.00.2201069.24023 - 25</t>
  </si>
  <si>
    <t>Servicio de apoyo para la implementación de la estrategia educativa del sistema de responsabilidad penal adolescente</t>
  </si>
  <si>
    <t>Estrategias de protección para el restablecimiento de derechos implementadas</t>
  </si>
  <si>
    <t>EDU-55-2026  Implementación de la estrategia educativa del sistema de responsabilidad penal adolescente</t>
  </si>
  <si>
    <t>0314 - 2.3.2.02.02.009.00.00.00.2201077.24023 - 20</t>
  </si>
  <si>
    <t>EDU-56-2026  Implementación de la estrategia educativa del sistema de responsabilidad penal adolescente</t>
  </si>
  <si>
    <t>0314 - 2.3.3.05.09.053.00.00.00.2201077.24023 - 25</t>
  </si>
  <si>
    <t>EDU-143-2026  Implementación de la estrategia educativa del sistema de responsabilidad penal adolescente</t>
  </si>
  <si>
    <t>1404 - 2.3.3.05.09.053.00.00.00.2201077.24023 - 25</t>
  </si>
  <si>
    <t>Servicio educativo</t>
  </si>
  <si>
    <t>Establecimientos educativos en operación</t>
  </si>
  <si>
    <t>Fortalecimiento institucional para una gestión educativa integral en el departamento del Quindio</t>
  </si>
  <si>
    <t>EDU-57-2026  Prestación del Servicio de Aseo</t>
  </si>
  <si>
    <t>0314 - 2.3.2.02.02.008.00.00.00.2201071.24025 - 35</t>
  </si>
  <si>
    <t>35</t>
  </si>
  <si>
    <t>RECURSO DESTINADO DEL MONOPOLIO</t>
  </si>
  <si>
    <t>EDU-58-2026 Prestación del Servicio de Vigilancia</t>
  </si>
  <si>
    <t>0314 - 2.3.2.02.02.008.00.00.00.2201071.24025 - 20</t>
  </si>
  <si>
    <t>EDU-59-2026 Suministro de medalleria, distinciones y reconocimientos para docentes y directivos docentes en las diferentes actividades y/o eventos, fortaleciendo el bienestra laboral de los mismos, en pro de mejorar la prestación del servicio educativo</t>
  </si>
  <si>
    <t>0314 - 2.3.2.02.01.004.00.00.00.2201071.24025 - 20</t>
  </si>
  <si>
    <t>EDU-60-2026  Prestación de servicios como Catering, Alojamiento, transporte, entre otros  para docentes y directivos docentes que contribuyan a mejorar la prestación del servicio educativo</t>
  </si>
  <si>
    <t>0314 - 2.3.2.02.02.006.00.00.00.2201071.24025 - 20</t>
  </si>
  <si>
    <t>EDU-61-2026  Servicios de Logística en las actividades desarrolladas para docentes y directivos docentes que contribuyan a mejorar la prestación del servicio educativo</t>
  </si>
  <si>
    <t>EDU-62-2026  Prestación de servicios que permitan el desarrollo de las actividades establecidas en los planes de bienestar social e incentivos para docentes y directivos docentes que contribuyan a mejorar la prestación del servicio educativo</t>
  </si>
  <si>
    <t>EDU-63-2026  Prestación de Servicios para apoyar los diferentes procesos técnico-administrativos que contribuyan al fortalecimiento de la getsión educativa</t>
  </si>
  <si>
    <t>0314 - 2.3.2.02.02.009.00.00.00.2201071.24025 - 20</t>
  </si>
  <si>
    <t>EDU-64-2026 Prestación del Servicio Educativo</t>
  </si>
  <si>
    <t>1401 - 2.3.1.01.01.001.01.00.00.2201071.24025 - 25</t>
  </si>
  <si>
    <t>EDU-65-2026 Prestación del Servicio Educativo</t>
  </si>
  <si>
    <t>1401 - 2.3.1.01.01.001.02.00.00.2201071.24025 - 25</t>
  </si>
  <si>
    <t>EDU-66-2026 Prestación del Servicio Educativo</t>
  </si>
  <si>
    <t>1401 - 2.3.1.01.01.001.06.00.00.2201071.24025 - 25</t>
  </si>
  <si>
    <t>EDU-67-2026  Prestación del Servicio Educativo</t>
  </si>
  <si>
    <t>1401 - 2.3.1.01.01.001.07.00.00.2201071.24025 - 25</t>
  </si>
  <si>
    <t>EDU-68-2026  Prestación del Servicio Educativo</t>
  </si>
  <si>
    <t>1401 - 2.3.1.01.01.001.08.01.00.2201071.24025 - 25</t>
  </si>
  <si>
    <t>EDU-69-2026  Prestación del Servicio Educativo</t>
  </si>
  <si>
    <t>1401 - 2.3.1.01.01.001.08.02.00.2201071.24025 - 25</t>
  </si>
  <si>
    <t>EDU-70-2026 Prestación del Servicio Educativo</t>
  </si>
  <si>
    <t>1401 - 2.3.1.01.01.001.10.00.00.2201071.24025 - 25</t>
  </si>
  <si>
    <t>EDU-71-2026  Prestación del Servicio Educativo</t>
  </si>
  <si>
    <t>1401 - 2.3.1.01.02.001.00.00.00.2201071.24025 - 25</t>
  </si>
  <si>
    <t>EDU-72-2026  Prestación del Servicio Educativo</t>
  </si>
  <si>
    <t>1401 - 2.3.1.01.02.002.00.00.00.2201071.24025 - 25</t>
  </si>
  <si>
    <t>EDU-73-2026 Prestación del Servicio Educativo</t>
  </si>
  <si>
    <t>1401 - 2.3.1.01.02.003.00.00.00.2201071.24025 - 25</t>
  </si>
  <si>
    <t>EDU-74-2026 Prestación del Servicio Educativo</t>
  </si>
  <si>
    <t>1401 - 2.3.1.01.02.004.00.00.00.2201071.24025 - 25</t>
  </si>
  <si>
    <t>EDU-75-2026 Prestación del Servicio Educativo</t>
  </si>
  <si>
    <t>1401 - 2.3.1.01.02.005.00.00.00.2201071.24025 - 25</t>
  </si>
  <si>
    <t>EDU-76-2026 Prestación del Servicio Educativo</t>
  </si>
  <si>
    <t>1401 - 2.3.1.01.02.006.00.00.00.2201071.24025 - 25</t>
  </si>
  <si>
    <t>EDU-77-2026 Prestación del Servicio Educativo</t>
  </si>
  <si>
    <t>1401 - 2.3.1.01.02.007.00.00.00.2201071.24025 - 25</t>
  </si>
  <si>
    <t>EDU-78-2026 Prestación del Servicio Educativo</t>
  </si>
  <si>
    <t>1401 - 2.3.1.01.02.008.00.00.00.2201071.24025 - 25</t>
  </si>
  <si>
    <t>EDU-79-2026 Prestación del Servicio Educativo</t>
  </si>
  <si>
    <t>1401 - 2.3.1.01.02.009.00.00.00.2201071.24025 - 25</t>
  </si>
  <si>
    <t>EDU-80-2026 Prestación del Servicio Educativo</t>
  </si>
  <si>
    <t>1401 - 2.3.1.01.03.001.02.00.00.2201071.24025 - 25</t>
  </si>
  <si>
    <t>EDU-81-2026 Prestación del Servicio Educativo</t>
  </si>
  <si>
    <t>1401 - 2.3.1.01.03.001.03.00.00.2201071.24025 - 25</t>
  </si>
  <si>
    <t>EDU-82-2026 Prestación del Servicio Educativo</t>
  </si>
  <si>
    <t>1401 - 2.3.1.01.03.009.00.00.00.2201071.24025 - 25</t>
  </si>
  <si>
    <t>EDU-83-2026 Prestación del Servicio Educativo</t>
  </si>
  <si>
    <t>1401 - 2.3.2.02.02.006.00.00.00.2201071.24025 - 25</t>
  </si>
  <si>
    <t>EDU-84-2026 Prestación del Servicio Educativo</t>
  </si>
  <si>
    <t>1401 - 2.3.2.02.02.007.00.00.00.2201071.24025 - 25</t>
  </si>
  <si>
    <t>EDU-85-2026 Prestación del Servicio Educativo</t>
  </si>
  <si>
    <t>1401 - 2.3.2.02.02.009.00.00.00.2201071.24025 - 25</t>
  </si>
  <si>
    <t>EDU-86-2026 Prestación del Servicio Educativo</t>
  </si>
  <si>
    <t>1402 - 2.3.2.02.02.008.00.00.00.2201071.24025 - 25</t>
  </si>
  <si>
    <t>EDU-87-2026 Prestación del Servicio Educativo</t>
  </si>
  <si>
    <t>1402 - 2.3.1.01.01.001.01.00.00.2201071.24025 - 25</t>
  </si>
  <si>
    <t>EDU-88-2026 Prestación del Servicio Educativo</t>
  </si>
  <si>
    <t>1402 - 2.3.1.01.01.001.02.00.00.2201071.24025 - 25</t>
  </si>
  <si>
    <t>EDU-89-2026 Prestación del Servicio Educativo</t>
  </si>
  <si>
    <t>1402 - 2.3.1.01.01.001.04.00.00.2201071.24025 - 25</t>
  </si>
  <si>
    <t>EDU-90-2026 Prestación del Servicio Educativo</t>
  </si>
  <si>
    <t>1402 - 2.3.1.01.01.001.05.00.00.2201071.24025 - 25</t>
  </si>
  <si>
    <t>EDU-91-2026 Prestación del Servicio Educativo</t>
  </si>
  <si>
    <t>1402 - 2.3.1.01.01.001.06.00.00.2201071.24025 - 25</t>
  </si>
  <si>
    <t>EDU-92-2026 Prestación del Servicio Educativo</t>
  </si>
  <si>
    <t>1402 - 2.3.1.01.01.001.08.01.00.2201071.24025 - 25</t>
  </si>
  <si>
    <t>EDU-93-2026 Prestación del Servicio Educativo</t>
  </si>
  <si>
    <t>1402 - 2.3.1.01.01.001.08.02.00.2201071.24025 - 25</t>
  </si>
  <si>
    <t>EDU-94-2026 Prestación del Servicio Educativo</t>
  </si>
  <si>
    <t>1402 - 2.3.1.01.01.001.10.00.00.2201071.24025 - 25</t>
  </si>
  <si>
    <t>EDU-95-2026 Prestación del Servicio Educativo</t>
  </si>
  <si>
    <t>1402 - 2.3.1.01.01.002.31.00.00.2201071.24025 - 25</t>
  </si>
  <si>
    <t>EDU-96-2026 Prestación del Servicio Educativo</t>
  </si>
  <si>
    <t>1402 - 2.3.1.01.01.002.32.00.00.2201071.24025 - 25</t>
  </si>
  <si>
    <t>EDU-97-2026 Prestación del Servicio Educativo</t>
  </si>
  <si>
    <t>1402 - 2.3.1.01.02.004.00.00.00.2201071.24025 - 25</t>
  </si>
  <si>
    <t>EDU-98-2026 Prestación del Servicio Educativo</t>
  </si>
  <si>
    <t>1402 - 2.3.1.01.02.006.00.00.00.2201071.24025 - 25</t>
  </si>
  <si>
    <t>EDU-99-2026 Prestación del Servicio Educativo</t>
  </si>
  <si>
    <t>1402 - 2.3.1.01.02.007.00.00.00.2201071.24025 - 25</t>
  </si>
  <si>
    <t>EDU-100-2026 Prestación del Servicio Educativo</t>
  </si>
  <si>
    <t>1402 - 2.3.1.01.02.008.00.00.00.2201071.24025 - 25</t>
  </si>
  <si>
    <t>EDU-101-2026 Prestación del Servicio Educativo</t>
  </si>
  <si>
    <t>1402 - 2.3.1.01.02.009.00.00.00.2201071.24025 - 25</t>
  </si>
  <si>
    <t>EDU-102-2026 Prestación del Servicio Educativo</t>
  </si>
  <si>
    <t>1402 - 2.3.1.01.03.101.00.00.00.2201071.24025 - 25</t>
  </si>
  <si>
    <t>EDU-103-2026 Prestación del Servicio Educativo</t>
  </si>
  <si>
    <t>1402 - 2.3.1.01.03.102.00.00.00.2201071.24025 - 25</t>
  </si>
  <si>
    <t>EDU-104-2026 Prestación del Servicio Educativo</t>
  </si>
  <si>
    <t>1402 - 2.3.2.02.01.002.00.00.00.2201071.24025 - 25</t>
  </si>
  <si>
    <t>EDU-105-2026 Prestación del Servicio Educativo</t>
  </si>
  <si>
    <t>1402 - 2.3.2.02.02.006.00.00.00.2201071.24025 - 25</t>
  </si>
  <si>
    <t>EDU-106-2026 Prestación del Servicio Educativo</t>
  </si>
  <si>
    <t>1402 - 2.3.2.02.02.007.00.00.00.2201071.24025 - 25</t>
  </si>
  <si>
    <t>EDU-107-2026 Prestación del Servicio Educativo</t>
  </si>
  <si>
    <t>1402 - 2.3.2.02.02.009.00.00.00.2201071.24025 - 25</t>
  </si>
  <si>
    <t>EDU-108-2026 Prestación del Servicio Educativo</t>
  </si>
  <si>
    <t>1403 - 2.3.2.02.02.008.00.00.00.2201071.24025 - 25</t>
  </si>
  <si>
    <t>EDU-109-2026 Prestación del Servicio Educativo</t>
  </si>
  <si>
    <t>1403 - 2.3.1.01.01.001.01.00.00.2201071.24025 - 25</t>
  </si>
  <si>
    <t>EDU-110-2026 Prestación del Servicio Educativo</t>
  </si>
  <si>
    <t>1403 - 2.3.1.01.01.001.02.00.00.2201071.24025 - 25</t>
  </si>
  <si>
    <t>EDU-111-2026 Prestación del Servicio Educativo</t>
  </si>
  <si>
    <t>1403 - 2.3.1.01.01.001.04.00.00.2201071.24025 - 25</t>
  </si>
  <si>
    <t>EDU-112-2026 Prestación del Servicio Educativo</t>
  </si>
  <si>
    <t>1403 - 2.3.1.01.01.001.06.00.00.2201071.24025 - 25</t>
  </si>
  <si>
    <t>EDU-113-2026 Prestación del Servicio Educativo</t>
  </si>
  <si>
    <t>1403 - 2.3.1.01.01.001.08.01.00.2201071.24025 - 25</t>
  </si>
  <si>
    <t>EDU-114-2026 Prestación del Servicio Educativo</t>
  </si>
  <si>
    <t>1403 - 2.3.1.01.01.001.08.02.00.2201071.24025 - 25</t>
  </si>
  <si>
    <t>EDU-115-2026 Prestación del Servicio Educativo</t>
  </si>
  <si>
    <t>1403 - 2.3.1.01.01.001.10.00.00.2201071.24025 - 25</t>
  </si>
  <si>
    <t>EDU-116-2026 Prestación del Servicio Educativo</t>
  </si>
  <si>
    <t>1403 - 2.3.1.01.01.002.31.00.00.2201071.24025 - 25</t>
  </si>
  <si>
    <t>EDU-117-2026 Prestación del Servicio Educativo</t>
  </si>
  <si>
    <t>1403 - 2.3.1.01.01.002.32.00.00.2201071.24025 - 25</t>
  </si>
  <si>
    <t>EDU-118-2026 Prestación del Servicio Educativo</t>
  </si>
  <si>
    <t>1403 - 2.3.1.01.02.004.00.00.00.2201071.24025 - 25</t>
  </si>
  <si>
    <t>EDU-119-2026 Prestación del Servicio Educativo</t>
  </si>
  <si>
    <t>1403 - 2.3.1.01.02.006.00.00.00.2201071.24025 - 25</t>
  </si>
  <si>
    <t>EDU-120-2026 Prestación del Servicio Educativo</t>
  </si>
  <si>
    <t>1403 - 2.3.1.01.02.007.00.00.00.2201071.24025 - 25</t>
  </si>
  <si>
    <t>EDU-121-2026 Prestación del Servicio Educativo</t>
  </si>
  <si>
    <t>1403 - 2.3.1.01.02.008.00.00.00.2201071.24025 - 25</t>
  </si>
  <si>
    <t>EDU-122-2026 Prestación del Servicio Educativo</t>
  </si>
  <si>
    <t>1403 - 2.3.1.01.02.009.00.00.00.2201071.24025 - 25</t>
  </si>
  <si>
    <t>EDU-123-2026 Prestación del Servicio Educativo</t>
  </si>
  <si>
    <t>1403 - 2.3.1.01.03.101.00.00.00.2201071.24025 - 25</t>
  </si>
  <si>
    <t>EDU-124-2026 Prestación del Servicio Educativo</t>
  </si>
  <si>
    <t>1403 - 2.3.1.01.03.102.00.00.00.2201071.24025 - 25</t>
  </si>
  <si>
    <t>EDU-125-2026 Prestación del Servicio Educativo</t>
  </si>
  <si>
    <t>1403 - 2.3.1.01.03.103.00.00.00.2201071.24025 - 25</t>
  </si>
  <si>
    <t>EDU-126-2026 Prestación del Servicio Educativo</t>
  </si>
  <si>
    <t>1403 - 2.3.2.02.02.006.00.00.00.2201071.24025 - 25</t>
  </si>
  <si>
    <t>EDU-127-2026 Prestación del Servicio Educativo</t>
  </si>
  <si>
    <t>1403 - 2.3.2.02.02.009.00.00.00.2201071.24025 - 25</t>
  </si>
  <si>
    <t>EDU-128-2026 Prestación del Servicio Educativo</t>
  </si>
  <si>
    <t>1402 - 2.3.1.01.01.001.01.00.00.2201071.24025 - 26</t>
  </si>
  <si>
    <t>26</t>
  </si>
  <si>
    <t>SISTEMA GENERAL DE PARTICIPACION EDUCACION</t>
  </si>
  <si>
    <t>EDU-129-2026 Prestación del Servicio Educativo</t>
  </si>
  <si>
    <t>1402 - 2.3.1.01.02.001.00.00.00.2201071.24025 - 26</t>
  </si>
  <si>
    <t>EDU-130-2026 Prestación del Servicio Educativo</t>
  </si>
  <si>
    <t>1402 - 2.3.1.01.02.002.00.00.00.2201071.24025 - 26</t>
  </si>
  <si>
    <t>EDU-131-2026 Prestación del Servicio Educativo</t>
  </si>
  <si>
    <t>1402 - 2.3.1.01.02.003.00.00.00.2201071.24025 - 26</t>
  </si>
  <si>
    <t>EDU-132-2026 Prestación del Servicio Educativo</t>
  </si>
  <si>
    <t>1403 - 2.3.1.01.01.001.01.00.00.2201071.24025 - 26</t>
  </si>
  <si>
    <t>EDU-133-2026 Prestación del Servicio Educativo</t>
  </si>
  <si>
    <t>1403 - 2.3.1.01.02.001.00.00.00.2201071.24025 - 26</t>
  </si>
  <si>
    <t>EDU-134-2026 Prestación del Servicio Educativo</t>
  </si>
  <si>
    <t>1403 - 2.3.1.01.02.002.00.00.00.2201071.24025 - 26</t>
  </si>
  <si>
    <t>EDU-135-2026 Prestación del Servicio Educativo</t>
  </si>
  <si>
    <t>1403 - 2.3.1.01.02.003.00.00.00.2201071.24025 - 26</t>
  </si>
  <si>
    <t>TATIANA HERNANDEZ MEJÍA</t>
  </si>
  <si>
    <t>PROGRAMACIÓN PLAN DE ACCIÓN 
SECRETARÍA:   FAMILIA        AÑO:  2026</t>
  </si>
  <si>
    <t>am-11</t>
  </si>
  <si>
    <t>Inclusión social y reconciliación</t>
  </si>
  <si>
    <t>Desarrollo integral de la primera infancia a la juventud, y fortalecimiento de las capacidades de las familias de niñas, niños y adolescentes</t>
  </si>
  <si>
    <t>Servicio de asistencia técnica a comunidades en temas de fortalecimiento del tejido social y construcción de escenarios comunitarios protectores de derechos</t>
  </si>
  <si>
    <t>Acciones ejecutadas con las comunidades</t>
  </si>
  <si>
    <t>Implementación de la Política Pública para la protección, el fortalecimiento y desarrollo integral de la Familia Quindiana  2019-2029, en el departamento del Quindío</t>
  </si>
  <si>
    <t>FAM-1-2026  Socialización y promoción de Rutas Integrales de Atención en todo tipo de Violencias (Sexual, Psicológica o emocional, física, Económica y de Género).</t>
  </si>
  <si>
    <t>0316 - 2.3.2.02.02.009.00.00.00.4102042.24044 - 20</t>
  </si>
  <si>
    <t>Secretario de Familia</t>
  </si>
  <si>
    <t>FAM-2-2026 Asistencia técnica en herramientas y mecanismos para la resolución del conflictos.</t>
  </si>
  <si>
    <t>4102043</t>
  </si>
  <si>
    <t>Servicio de promoción de temas de dinámica relacional y desarrollo autónomo</t>
  </si>
  <si>
    <t>Familias atendidas</t>
  </si>
  <si>
    <t>FAM-3-2026 Apoyar con el seguimiento, monitoreo y evaluación de la política publica de familia.</t>
  </si>
  <si>
    <t>0316 - 2.3.2.02.02.009.00.00.00.4102043.24044 - 20</t>
  </si>
  <si>
    <t>FAM-4-2026  Diseñar y desarrollar estrategias, programas y/o proyectos para la protección y fortalecimiento de las familias del departamento.</t>
  </si>
  <si>
    <t>FAM-5-2026 Desarrollo de campañas de prevención para el fortalecimiento y desarrollo integral de la Familia</t>
  </si>
  <si>
    <t>0316 - 2.3.2.02.01.003.00.00.00.4102043.24044 - 20</t>
  </si>
  <si>
    <t>FAM-6-2026 Servicios de papelerías e impresos (volantes, afiches, plegables, entre otros)</t>
  </si>
  <si>
    <t>FAM-7-2026 Prestación de servicios de catering, necesarios para apoyar el adecuado desarrollo y cubrimientos de los diferentes eventos y actividades.</t>
  </si>
  <si>
    <t>0316 - 2.3.2.02.02.006.00.00.00.4102043.24044 - 20</t>
  </si>
  <si>
    <t>FAM-8-2026 Implementación de Servicio de Transporte para Apoyar Actividades de Fortalecimiento Familiar y Atención a Poblaciones Vulnerables</t>
  </si>
  <si>
    <t xml:space="preserve">FAM-9-2026  Celebración del día de familia por medio de ADQUISICION DE BIENES Y SERVICIOS: Logistica operativa </t>
  </si>
  <si>
    <t>0316 - 2.3.2.02.02.008.00.00.00.4102043.24044 - 20</t>
  </si>
  <si>
    <t>4102038</t>
  </si>
  <si>
    <t>Servicio dirigidos a la atención de niños, niñas, adolescentes y jóvenes, con enfoque pedagógico y restaurativo encaminados a la inclusión social</t>
  </si>
  <si>
    <t>Niños, niñas, adolescentes y jóvenes atendidios en los servicios de restablecimiento en la administración de justicia</t>
  </si>
  <si>
    <t>Servicio con enfoque pedagógico y restaurativo dirigidos a la atención de niños, niñas, adolescentes y jóvenes vinculados al sistema de responsabilidad penal para adolescentes en el departamento del Quindío</t>
  </si>
  <si>
    <t>FAM-10-2026  Realizar actividades de prevención para adolescentes y jóvenes en riesgo social y/o vinculados a la Ley de Responsabilidad Penal</t>
  </si>
  <si>
    <t>0316 - 2.3.2.02.02.009.00.00.00.4102038.24045 - 20</t>
  </si>
  <si>
    <t>80</t>
  </si>
  <si>
    <t>FAM-11-2026  Promover actividades deportivas, culturales, artisticas y de inteligencia emocional que fomenten la inclusion social.</t>
  </si>
  <si>
    <t>FAM-12-2026 Fomento, seguimiento y evaluación de estrategias para la prevención de la reincidencia al SRPA</t>
  </si>
  <si>
    <t>4102028</t>
  </si>
  <si>
    <t>Centros de Atención Especializada - CAE para el restablecimiento de derechos dotados</t>
  </si>
  <si>
    <t>FAM-13-2026  Realizar dotacion a los Centros de Atención Especializada -CAE del Departamento del Quindío</t>
  </si>
  <si>
    <t>0316 - 2.3.2.01.01.003.05.03.00.4102028.24045 - 20</t>
  </si>
  <si>
    <t>Atención integral de población en situación permanente de desprotección social y/o familiar</t>
  </si>
  <si>
    <t>Servicio de atención integral a población en condición de discapacidad</t>
  </si>
  <si>
    <t>Personas con discapacidad atendidas con servicios integrales</t>
  </si>
  <si>
    <t>Servicios de atención integral a la población con discapacidad  en el departamento del Quindío.</t>
  </si>
  <si>
    <t>FAM-14-2026  Fomentar y fortalecer un Banco de Ayudas Técnicas No Pos para personas con Discapacidad en el departamento del Quindío</t>
  </si>
  <si>
    <t>0316 - 2.3.2.02.02.009.00.00.00.4104020.24048 - 20</t>
  </si>
  <si>
    <t>3500</t>
  </si>
  <si>
    <t>FAM-15-2026  Implementación de la Política Pública de Discapacidad "Capacidad sin límites" del Departamento del Quindío.</t>
  </si>
  <si>
    <t>FAM-16-2026  Acompañamiento a las personas con discapacidad, familias y comunidad con la implementación del programa Rehabilitación Basada en Comunidad - RBC</t>
  </si>
  <si>
    <t>FAM-17-2026  Celebraciones y eventos para la conmemoracion del dia de la discapacidad y del cuidador</t>
  </si>
  <si>
    <t>FAM-18-2026  Desarrollar las acciones pertinentes para dar cumplimiento en lo que corresponda a la Ley 1996 de 2019, con la Valoración de Apoyo a personas con discapacidad en el Departamento el Quindío.</t>
  </si>
  <si>
    <t>FAM-19-2026  Servicios de papelerías e impresos (volantes, afiches, plegables, entre otros)</t>
  </si>
  <si>
    <t>0316 - 2.3.2.02.01.003.00.00.00.4104020.24048 - 20</t>
  </si>
  <si>
    <t>FAM-20-2026 Prestación de servicios de catering, necesarios para apoyar el adecuado desarrollo y cubrimientos de los diferentes eventos y actividades.</t>
  </si>
  <si>
    <t>0316 - 2.3.2.02.02.006.00.00.00.4104020.24048 - 20</t>
  </si>
  <si>
    <t>Servicio de gestión de oferta social para la población vulnerable</t>
  </si>
  <si>
    <t>Mecanismos de articulación implementados para la gestión de oferta social</t>
  </si>
  <si>
    <t>Fortalecimiento a la garantía de derechos de la población migrante, refugiada y colombianos retornados en el departamento del Quindío</t>
  </si>
  <si>
    <t>FAM-21-2026 Implementar el Plan de Acompañamiento al Ciudadano Migrante, refugiados y Colombianos retornados  en el Departamento del Quindío</t>
  </si>
  <si>
    <t>0316 - 2.3.2.02.02.009.00.00.00.4103052.24053 - 20</t>
  </si>
  <si>
    <t>88</t>
  </si>
  <si>
    <t>FAM-22-2026  Prestación de servicios de catering, necesarios para apoyar el adecuado desarrollo y cubrimientos de los diferentes eventos y actividades.</t>
  </si>
  <si>
    <t>0316 - 2.3.2.02.02.006.00.00.00.4103052.24053- 20</t>
  </si>
  <si>
    <t>4104008</t>
  </si>
  <si>
    <t>Servicio de atención y protección integral al adulto mayor</t>
  </si>
  <si>
    <t>Adultos mayores atendidos con servicios integrales</t>
  </si>
  <si>
    <t xml:space="preserve">Servicios de atención integral al adulto mayor en situación permanente de desprotección social y/o familiar en el Departamento del Quindío. </t>
  </si>
  <si>
    <t>FAM-23-2026 Implementacion y seguimiento a la Política Pública de Envejecimiento y Vejez</t>
  </si>
  <si>
    <t>0316 - 2.3.2.02.02.009.00.00.00.4104008.24057.00000 - 20</t>
  </si>
  <si>
    <t>FAM-24-2026  Dinamización del Cabildo departamental de Sabios del Quindío y asistencia técnica a cabildos municipales</t>
  </si>
  <si>
    <t>FAM-25-2026  Dinamizacion del Consejo departamental del Adulto Mayor</t>
  </si>
  <si>
    <t>FAM-26-2026 Realizar acompañamiento a los grupos de adultos mayores del departamento a través de deporte, cultura, recreación y motivación</t>
  </si>
  <si>
    <t>FAM-27-2026  Celebraciones y eventos donde se resalte la importacia del rol del adulto mayor y su trayectoria de vida en la familia y la sociedad</t>
  </si>
  <si>
    <t>FAM-28-2026 Apoyar el seguimiento a la ejecución del recurso estampilla pro adulto mayor a los Centros Vida y los Centros de Bienestar de Adulto Mayor</t>
  </si>
  <si>
    <t>FAM-29-2026  Apoyar las actividades del proyecto a través de refrigerios y almuerzos.</t>
  </si>
  <si>
    <t>0316 - 2.3.2.02.02.006.00.00.00.4104008.24057- 20</t>
  </si>
  <si>
    <t>FAM-30-2026  Servicios de papelerias e impresos (volantes, afiches, plagables, entre otros)</t>
  </si>
  <si>
    <t>0316 - 2.3.2.02.01.003.00.00.00.4104008.24057 - 20</t>
  </si>
  <si>
    <t xml:space="preserve">FAM-31-2026  Desarrollo de los espacios de participacion para los cabildantes departamentales en el Cabildo de Sabios del Quindio </t>
  </si>
  <si>
    <t>0316 - 2.3.2.02.02.006.00.00.00.4104008.24057 - 20</t>
  </si>
  <si>
    <t>FAM-32-2026  Apoyar a los Centros de Bienestar de Adulto Mayor (CBA) 30%</t>
  </si>
  <si>
    <t>0316 - 2.3.2.02.02.009.00.00.00.4104008.24057.00096 - 06</t>
  </si>
  <si>
    <t xml:space="preserve"> ESTAMPILLA PROADULTO MAYOR </t>
  </si>
  <si>
    <t>FAM-33-2026  Apoyar a los Centros de Bienestar de Adulto Mayor (CBA) 30%</t>
  </si>
  <si>
    <t>0316 - 2.3.2.02.02.009.00.00.00.4104008.24057.00233 - 06</t>
  </si>
  <si>
    <t>FAM-34-2026  Apoyar a los Centros de Bienestar de Adulto Mayor (CBA) 30%</t>
  </si>
  <si>
    <t>0316 - 2.3.2.02.02.009.00.00.00.4104008.24057.00284 - 06</t>
  </si>
  <si>
    <t>FAM-35-2026  Apoyar a los Centros de Bienestar de Adulto Mayor (CBA) 30%</t>
  </si>
  <si>
    <t>0316 - 2.3.2.02.02.009.00.00.00.4104008.24057.00412 - 06</t>
  </si>
  <si>
    <t>FAM-36-2026  Apoyar a los Centros de Bienestar de Adulto Mayor (CBA) 30%</t>
  </si>
  <si>
    <t>0316 - 2.3.2.02.02.009.00.00.00.4104008.24057.00470 - 06</t>
  </si>
  <si>
    <t>FAM-37-2026  Apoyar a los Centros de Bienestar de Adulto Mayor (CBA) 30%</t>
  </si>
  <si>
    <t>0316 - 2.3.2.02.02.009.00.00.00.4104008.24057.02226 - 06</t>
  </si>
  <si>
    <t>FAM-38-2026  Apoyar a los Centros de Bienestar de Adulto Mayor (CBA) 30%</t>
  </si>
  <si>
    <t>0316 - 2.3.2.02.02.009.00.00.00.4104008.24057.02372 - 06</t>
  </si>
  <si>
    <t>FAM-39-2026  Apoyar a los Centros de Bienestar de Adulto Mayor (CBA) 30%</t>
  </si>
  <si>
    <t>0316 - 2.3.2.02.02.009.00.00.00.4104008.24057.02882 - 06</t>
  </si>
  <si>
    <t>FAM-40-2026  Apoyar a los Centros de Bienestar de Adulto Mayor (CBA) 30%</t>
  </si>
  <si>
    <t>0316 - 2.3.2.02.02.009.00.00.00.4104008.24057.03013 - 06</t>
  </si>
  <si>
    <t>FAM-41-2026  Apoyar a los Centros de Bienestar de Adulto Mayor (CBA) 30%</t>
  </si>
  <si>
    <t>0316 - 2.3.2.02.02.009.00.00.00.4104008.24057.03167 - 06</t>
  </si>
  <si>
    <t>FAM-42-2026  Apoyar a los Centros de Bienestar de Adulto Mayor (CBA) 30%</t>
  </si>
  <si>
    <t>0316 - 2.3.2.02.02.009.00.00.00.4104008.24057.03244 - 06</t>
  </si>
  <si>
    <t>FAM-43-2026  Apoyar a los Centros de Bienestar de Adulto Mayor (CBA) 30%</t>
  </si>
  <si>
    <t>0316 - 2.3.2.02.02.009.00.00.00.4104008.24057.03303 - 06</t>
  </si>
  <si>
    <t>FAM-44-2026 Apoyar a los centros vida (CV) 70%</t>
  </si>
  <si>
    <t>FAM-45-2026 Apoyar a los centros vida (CV) 70%</t>
  </si>
  <si>
    <t>FAM-46-2026 Apoyar a los centros vida (CV) 70%</t>
  </si>
  <si>
    <t>FAM-47-2026 Apoyar a los centros vida (CV) 70%</t>
  </si>
  <si>
    <t>FAM-48-2026 Apoyar a los centros vida (CV) 70%</t>
  </si>
  <si>
    <t>FAM-49-2026 Apoyar a los centros vida (CV) 70%</t>
  </si>
  <si>
    <t>FAM-50-2026 Apoyar a los centros vida (CV) 70%</t>
  </si>
  <si>
    <t>FAM-51-2026 Apoyar a los centros vida (CV) 70%</t>
  </si>
  <si>
    <t>Centros de protección social para el adulto mayor dotados</t>
  </si>
  <si>
    <t>FAM-52-2026  Dotación de los centros de protección social para el adulto mayor dotados</t>
  </si>
  <si>
    <t>0316 - 2.3.2.02.01.003.00.00.00.4104007.24057 - 20</t>
  </si>
  <si>
    <t>4104014</t>
  </si>
  <si>
    <t>Centros de protección social de día para el adulto mayor dotados</t>
  </si>
  <si>
    <t>Centros de día para el adulto mayor dotados</t>
  </si>
  <si>
    <t>FAM-53-2026  Dotación de los centros de día para el adulto mayor dotados</t>
  </si>
  <si>
    <t>0316 - 2.3.2.02.01.003.00.00.00.4104014.24057 - 20</t>
  </si>
  <si>
    <t>Servicio de atención integral al habitante de la calle</t>
  </si>
  <si>
    <t xml:space="preserve">Personas atendidas con  servicios integrales </t>
  </si>
  <si>
    <t xml:space="preserve">Asistencia a la población habitante de calle mediante la articulación de servicios de oferta institucional  en el departamento del Quindío </t>
  </si>
  <si>
    <t>FAM-54-2026  Articulación con entes territoriales e interinstitucionales para la oferta, atención y acompañamiento al habitante de calle.</t>
  </si>
  <si>
    <t>0316 - 2.3.2.02.02.009.00.00.00.4104027.24063 - 20</t>
  </si>
  <si>
    <t>FAM-55-2026  Prestación de servicios de catering, necesarios para apoyar el adecuado desarrollo y cubrimientos de los diferentes eventos y actividades..</t>
  </si>
  <si>
    <t>0316 - 2.3.2.02.02.006.00.00.00.4104027.24063 - 20</t>
  </si>
  <si>
    <t>FAM-56-2026  Servicios de papelerías e impresos (volantes, afiches, plegables, entre otros)</t>
  </si>
  <si>
    <t>0316 - 2.3.2.02.01.003.00.00.00.4104027.24063 - 20</t>
  </si>
  <si>
    <t>Documento de lineamientos técnicos</t>
  </si>
  <si>
    <t xml:space="preserve">Fortalecimiento a las comunidades indigenas en la elaboración, formulación y/o actualización de los planes de vida en el departamento del Quindío </t>
  </si>
  <si>
    <t>FAM-57-2026  Formulación, Implementación o actualización de los Planes de Vida de los Cabildos Indígenas</t>
  </si>
  <si>
    <t>0316 - 2.3.2.02.02.009.00.00.00.4103060.24064 - 20</t>
  </si>
  <si>
    <t>375</t>
  </si>
  <si>
    <t>FAM-58-2026 Formulación, Implementación o actualización de los Planes de Vida de los Resguardos Indígenas</t>
  </si>
  <si>
    <t>FAM-59-2026 Implementación de Servicio de Transporte para Apoyar Actividades de Fortalecimiento Familiar y Atención a Poblaciones Vulnerables</t>
  </si>
  <si>
    <t>0316 - 2.3.2.02.02.006.00.00.00.4103060.24064 - 20</t>
  </si>
  <si>
    <t>FAM-60-2026  Prestación de servicios de catering, necesarios para apoyar el adecuado desarrollo y cubrimientos de los diferentes eventos y actividades.</t>
  </si>
  <si>
    <t>Implementación de la "Política Pública para las comunidades Negras, Afrocolombianas, Raizales y Palenqueras residentes en el departamento del Quindío 2020-2030"</t>
  </si>
  <si>
    <t>FAM-61-2026 Acompañar la conmemoración del día de la afrocolombianidad y demás fechas conmemorativas relacionadas con la población NARP</t>
  </si>
  <si>
    <t>0316 - 2.3.2.02.02.009.00.00.00.4103052.24071 - 20</t>
  </si>
  <si>
    <t>188</t>
  </si>
  <si>
    <t>FAM-62-2026  Implementación de la Política Pública NARP en el departamento del Quindío</t>
  </si>
  <si>
    <t>FAM-63-2026  Prestación de servicios de catering, necesarios para apoyar el adecuado desarrollo y cubrimientos de los diferentes eventos y actividades.</t>
  </si>
  <si>
    <t>0316 - 2.3.2.02.02.006.00.00.00.4103052.24071 - 20</t>
  </si>
  <si>
    <t>4102041</t>
  </si>
  <si>
    <t>Servicio de asistencia técnica en el ciclo de políticas públicas de familia y otras relacionadas</t>
  </si>
  <si>
    <t>Instituciones y entidades asistidas técnicamente</t>
  </si>
  <si>
    <t xml:space="preserve">Asistencia técnica a las entidades territoriales en las Políticas Públicas de primera infancia, infancia, adolescencia, juventud y familia en el departamento del Quindío. </t>
  </si>
  <si>
    <t>FAM-64-2026  Asistencia técnica en la formulación, adopción, seguimiento y evaluación de la Políticas Públicas de Primera Infancia, Infancia y Adolescencia en los municipios del departamento del Quindío que lo requieran.</t>
  </si>
  <si>
    <t>0316 - 2.3.2.02.02.009.00.00.00.4102041.24075 - 20</t>
  </si>
  <si>
    <t>FAM-65-2026  Asistencia técnica en la formulación, adopción, seguimiento y evaluación de las Políticas Públicas de Juventud en los municipios del departamento del Quindío que lo requieran.</t>
  </si>
  <si>
    <t>FAM-66-2026  Asistencia técnica en la formulación, adopción, seguimiento y evaluación de las Política Públicas de Familia en los municipios del departamento del Quindío que lo requieran.</t>
  </si>
  <si>
    <t>Asociaciones de mujeres fortalecidas</t>
  </si>
  <si>
    <t>Apoyo para la conformación ó consolidación de asociaciones de mujeres productoras a través de estrategias y asesorías en temas organizacionales y administrativos en el departamento del Quindio</t>
  </si>
  <si>
    <t>FAM-67-2026 Realizar procesos de formación y acompañamiento técnico en temas de asociatividad, liderazgo, gobernanza, gestión administrativa y planificación estratégica dirigidos a mujeres productoras, con el fin de fortalecer sus capacidades organizativas y promover la sostenibilidad de sus asociaciones en el departamento del Quindío.</t>
  </si>
  <si>
    <t>0316 - 2.3.2.02.02.009.00.00.00.1702011.24076 - 20</t>
  </si>
  <si>
    <t>FAM-68-2026  Articular, acompañar y realizar seguimiento a las organizaciones de mujeres productoras existentes, con el fin de fortalecer sus procesos organizativos, promover su empoderamiento económico y social, y consolidar su participación activa en espacios de desarrollo local.</t>
  </si>
  <si>
    <t>FAM-69-2026  Prestación de servicios de catering, necesarios para apoyar el adecuado desarrollo y cubrimientos de los diferentes eventos y actividades.</t>
  </si>
  <si>
    <t>0316 - 2.3.2.02.02.006.00.00.00.1702011.24076 - 20</t>
  </si>
  <si>
    <t>FAM-70-2026  ADQUISICION DE BIENES Y SERVICIOS: Logistica operativa</t>
  </si>
  <si>
    <t>0316 - 2.3.2.02.02.008.00.00.00.1702011.24076 - 20</t>
  </si>
  <si>
    <t>Servicio de promoción de la garantía de derechos</t>
  </si>
  <si>
    <t>Estrategias de promoción de la garantía de derechos implementadas</t>
  </si>
  <si>
    <t>Implementación de la política pública de diversidad sexual e identidad de género 2019-2029 en el departamento del Quindio</t>
  </si>
  <si>
    <t>FAM-71-2026  Implementación y seguimiento al cumplimiento del plan de acción de la política publica de diversidad sexual e identidad de genero</t>
  </si>
  <si>
    <t>0316 - 2.3.2.02.02.009.00.00.00.4502038.24079 - 20</t>
  </si>
  <si>
    <t>150</t>
  </si>
  <si>
    <t>FAM-72-2026  Diseñar e implementar estrategias, programas y/o proyectos orientados a la promoción, protección y garantía integral de los derechos de la población sexualmente diversa (OSIGD/LGBTI), con un enfoque diferencial, de derechos humanos, interseccionalidad y no discriminación.</t>
  </si>
  <si>
    <t>FAM-73-2026  Fortalecer y garantizar el acceso inclusivo y no discriminatorio de la población OSIGD/LGBTI a los servicios públicos departamentales, especialmente en salud, educación y empleo, mediante la capacitación de personal y la adecuación de protocolos institucionales con enfoque de diversidad sexual y de género.</t>
  </si>
  <si>
    <t>FAM-74-2026   Desarrollar procesos de formación, capacitación y sensibilización dirigidos a funcionarios públicos, organizaciones sociales, comunidades educativas y ciudadanía en general, con el fin de fortalecer el respeto, la inclusión y la garantía de derechos de las personas OSIGD/LGBTI, promoviendo enfoques de diversidad, equidad, no discriminación y derechos humanos.</t>
  </si>
  <si>
    <t>FAM-75-2026  ADQUISICION DE BIENES Y SERVICIOS: Logistica operativa</t>
  </si>
  <si>
    <t>0316 - 2.3.2.02.02.008.00.00.00.4502038.24079 - 20</t>
  </si>
  <si>
    <t>FAM-76-2026 Servicios de papelería e impresos (volantes, afiches, plegables, entre otros)</t>
  </si>
  <si>
    <t>0316 - 2.3.2.02.01.003.00.00.00.4502038.24079 - 20</t>
  </si>
  <si>
    <t>FAM-77-2026  Prestación de servicios de catering, necesarios para apoyar el adecuado desarrollo y cubrimientos de los diferentes eventos y actividades.</t>
  </si>
  <si>
    <t>0316 - 2.3.2.02.02.006.00.00.00.4502038.24079 - 20</t>
  </si>
  <si>
    <t>Implementación de la Política Pública de juventud en el departamento del Quindío</t>
  </si>
  <si>
    <t>FAM-78-2026 Promoción de la salud física, mental y emocional de las y los Jóvenes Quindianos</t>
  </si>
  <si>
    <t>0316 - 2.3.2.02.02.009.00.00.00.4102041.24084 - 20</t>
  </si>
  <si>
    <t>FAM-79-2026 Promoción del deporte, la recreación y expresiones culturales en la población joven del Quindío</t>
  </si>
  <si>
    <t>FAM-80-2026 Fomento y fortalecimiento a organizaciones de base social y cultural para la participación y empoderamiento juvenil</t>
  </si>
  <si>
    <t>FAM-81-2026 Capacitaciones, socialización y conformación de espacios de participación juvenil</t>
  </si>
  <si>
    <t>FAM-82-2026 Asignacion de incentivos para los sistemas de participación juvenil, plataforma departamental y consejo departamental de juventud</t>
  </si>
  <si>
    <t>0316 - 2.3.2.02.02.006.00.00.00.4102041.24084 - 20</t>
  </si>
  <si>
    <t>FAM-83-2026  Servicios de papelerías e impresos (volantes, afiches, plegables, entre otros)</t>
  </si>
  <si>
    <t>0316 - 2.3.2.02.01.003.00.00.00.4102041.24084 - 20</t>
  </si>
  <si>
    <t>FAM-84-2026  ADQUISICION DE BIENES Y SERVICIOS: Logistica operativa</t>
  </si>
  <si>
    <t>0316 - 2.3.2.02.02.008.00.00.00.4102041.24084 - 20</t>
  </si>
  <si>
    <t>FAM-85-2026  Servicio de catering para el desarrollo de  instancias de participacion juvenil y eventos de implementacion de la politlica publica de juventud</t>
  </si>
  <si>
    <t>Espacios generados para el fortalecimiento de capacidades institucionales del Estado</t>
  </si>
  <si>
    <t>Implementación de medidas de protección y atención para las mujeres víctimas de violencia y discriminación en el marco de la Ley 1257 del 2008, en el departamento del Quindío</t>
  </si>
  <si>
    <t>FAM-86-2026  Otorgar medidas de atención y protección a mujeres víctimas de violencia intrafamiliar y de género en el marco de la Ley 1257 de 2008</t>
  </si>
  <si>
    <t>0316 - 2.3.2.02.02.009.00.00.00.4502024.24085 - 20</t>
  </si>
  <si>
    <t>FAM-87-2026  Implementar acciones orientadas a garantizar la atención integral de mujeres víctimas de violencia intrafamiliar o de género, mediante la realización de visitas de seguimiento que permitan verificar la implementación efectiva de las medidas de atención asignadas.</t>
  </si>
  <si>
    <t>FAM-88-2026 Capacitar a funcionarios públicos, representantes de órganos de control, y autoridades judiciales y administrativas con responsabilidad en la atención, protección y garantía de los derechos de las mujeres, en la implementación de medidas de atención, fortaleciendo así la respuesta institucional en el departamento del Quindío.</t>
  </si>
  <si>
    <t>FAM-89-2026  Servicios de papelería e impresos (volantes, afiches, plegables, entre otros)</t>
  </si>
  <si>
    <t>0316 - 2.3.2.02.01.003.00.00.00.4502024.24085 - 20</t>
  </si>
  <si>
    <t>Fortalecimiento de espacios de formación, atención y liderazgo para las mujeres en el departamento del Quindío</t>
  </si>
  <si>
    <t>FAM-90-2026 Capacitar a entidades públicas del orden departamental y nacional, así como a organizaciones y actores del sector privado presentes en el territorio, en enfoque de género, con el propósito de fortalecer sus capacidades institucionales y promover, desde sus respectivas ofertas institucionales, acciones que contribuyan a la formación, inclusión social y liderazgo de las mujeres en el departamento del Quindío.</t>
  </si>
  <si>
    <t>0316 - 2.3.2.02.02.009.00.00.00.4502024.24086 - 20</t>
  </si>
  <si>
    <t>FAM-91-2026 Impulsar la articulación entre entidades públicas y privadas para el desarrollo de acciones coordinadas que promuevan los derechos de las mujeres y su participación activa en los ámbitos económico, social, cultural y político, a través del aprovechamiento y fortalecimiento de la oferta institucional existente.</t>
  </si>
  <si>
    <t>FAM-92-2026 Brindar asistencia técnica en promoción de los derechos de las mujeres a organizaciones de mujeres y a entidades que trabajan por su protección e inclusión en los ámbitos económico, social, cultural y político.</t>
  </si>
  <si>
    <t>FAM-93-2026 Apoyar a mujeres y colectivos de mujeres mediante procesos de formación en artes y oficios, orientados a fortalecer sus capacidades para la inclusión productiva y el desarrollo de iniciativas económicas sostenibles.</t>
  </si>
  <si>
    <t>FAM-94-2026  ADQUISICION DE BIENES Y SERVICIOS: Logistica operativa</t>
  </si>
  <si>
    <t>0316 - 2.3.2.02.02.008.00.00.00.4502024.24086 - 20</t>
  </si>
  <si>
    <t>FAM-95-2026 Suministro de refrigerios y almuerzo</t>
  </si>
  <si>
    <t>0316 - 2.3.2.02.02.006.00.00.00.4502024.24086 - 20</t>
  </si>
  <si>
    <t>Salud y protección social</t>
  </si>
  <si>
    <t>Salud Pública</t>
  </si>
  <si>
    <t>Servicio de gestión del riesgo en temas de salud sexual y reproductiva</t>
  </si>
  <si>
    <t>Campañas de gestión del riesgo en temas de salud sexual y reproductiva implementadas</t>
  </si>
  <si>
    <t>Diseño de estrategías para la promoción de la vida y prevención del consumo de sustancias psicoactivas en el Departamento del Quindío.</t>
  </si>
  <si>
    <t>FAM-96-2026  Diseñar e implementar campañas de prevención del riesgo y promoción de la Salud Sexual y Reproductiva con enfoque diferencial.</t>
  </si>
  <si>
    <t>0316 - 2.3.2.02.02.009.00.00.00.1905021.24087 - 20</t>
  </si>
  <si>
    <t>Servicio de gestión del riesgo en temas de trastornos mentales</t>
  </si>
  <si>
    <t>Campañas de gestión del riesgo en temas de trastornos mentales implementadas</t>
  </si>
  <si>
    <t>FAM-97-2026 Diseñar e implementar campañas de prevención del riesgo y promoción y mitigación del consumo de Sustancias Psicoactivas .</t>
  </si>
  <si>
    <t>0316 - 2.3.2.02.02.009.00.00.00.1905022.24087 -20</t>
  </si>
  <si>
    <t>FAM-98-2026 Diseñar e implementar campañas de promoción de la salud mental y arraigo por la vida</t>
  </si>
  <si>
    <t>0316 - 2.3.2.02.02.009.00.00.00.1905022.24087 - 20</t>
  </si>
  <si>
    <t>FAM-99-2026 Prestación de servicios de catering, necesarios para apoyar el adecuado desarrollo y cubrimientos de los diferentes eventos y actividades.</t>
  </si>
  <si>
    <t>0316 - 2.3.2.02.02.006.00.00.00.1905022.24087 - 20</t>
  </si>
  <si>
    <t>FAM-100-2026  Servicios de papelerías e impresos (volantes, afiches, plegables, entre otros)</t>
  </si>
  <si>
    <t>0316 - 2.3.2.02.01.003.00.00.00.1905022.24087 - 20</t>
  </si>
  <si>
    <t>FAM-101-2026  Desarrollo de campañas para la prevención en fortalecimiento y desarrollo integral de la Familia</t>
  </si>
  <si>
    <t>Servicio de acompañamiento familiar y comunitario para la superación de la pobreza</t>
  </si>
  <si>
    <t>Comunidades con acompañamiento familiar</t>
  </si>
  <si>
    <t>Fortalecimiento de unidades productivas individuales y familiares de población vulnerable para la inclusión social y productiva en el departamento del Quindío.</t>
  </si>
  <si>
    <t>FAM-102-2026 Realizar ferias y eventos de impulso a los emprendimientos generados en el departamento.</t>
  </si>
  <si>
    <t>0316 - 2.3.2.02.02.009.00.00.00.4103050.24092 - 20</t>
  </si>
  <si>
    <t>FAM-103-2026 Realizar seguimiento y evaluación a los proyectos productivos beneficiados con capital semilla.</t>
  </si>
  <si>
    <t>FAM-104-2026 Servicio de catering para el desarrollo de  eventos que beneficien a los emprendedores del Departamento.</t>
  </si>
  <si>
    <t>0316 - 2.3.2.02.02.006.00.00.00.4103050.24092 - 20</t>
  </si>
  <si>
    <t>Servicio de apoyo para el fortalecimiento de unidades productivas colectivas para la generación de ingresos</t>
  </si>
  <si>
    <t>Unidades productivas colectivas fortalecidas</t>
  </si>
  <si>
    <t>FAM-105-2026  Apoyar la implementación de proyectos productivos a través del acceso a medios de financiamiento.</t>
  </si>
  <si>
    <t>0316 - 2.3.2.02.02.009.00.00.00.4103058.24092 - 20</t>
  </si>
  <si>
    <t>Servicio de asistencia técnica para fortalecimiento de unidades productivas colectivas para la generación de ingresos</t>
  </si>
  <si>
    <t>Unidades productivas colectivas con asistencia técnica</t>
  </si>
  <si>
    <t>FAM-106-2026 Focalizar proyectos productivos con enfoque diferencial en el Departamento del Quindío.</t>
  </si>
  <si>
    <t>0316 - 2.3.2.02.02.009.00.00.00.4103059.24092 - 20</t>
  </si>
  <si>
    <t>FAM-107-2026  Brindar asistencia técnica a la población emprendedora con enfoque diferencial y comunitario del departamento del Quindío.</t>
  </si>
  <si>
    <t xml:space="preserve">Implementación de la Política Pública para la equidad de género y la autonomía de las Mujeres en el Departamento del Quindío </t>
  </si>
  <si>
    <t>FAM-108-2026  Formulación de la Política Pública de Equidad de Género para la Mujer</t>
  </si>
  <si>
    <t>0316 - 2.3.2.02.02.009.00.00.00.4502038.24102 - 20</t>
  </si>
  <si>
    <t>FAM-109-2026 implementación de la Política Pública de Equidad de Género para la Mujer</t>
  </si>
  <si>
    <t>FAM-110-2026  Servicios de papelerías e impresos (volantes, afiches, plegables, entre otros)</t>
  </si>
  <si>
    <t xml:space="preserve">0316 - 2.3.2.02.01.003.00.00.00.4502038.24102 - 20
</t>
  </si>
  <si>
    <t>FAM-111-2026  Prestación de servicios de catering, necesarios para apoyar el adecuado desarrollo y cubrimientos de los diferentes eventos y actividades.</t>
  </si>
  <si>
    <t>0316 - 2.3.2.02.02.006.00.00.00.4502038.24102 - 20</t>
  </si>
  <si>
    <t>FAM-112-2026  ADQUISICION DE BIENES Y SERVICIOS: Logistica operativa</t>
  </si>
  <si>
    <t>0316 - 2.3.2.02.02.008.00.00.00.4502038.24102 - 20</t>
  </si>
  <si>
    <t>Servicio de atención integral a la primera infancia</t>
  </si>
  <si>
    <t>Niños y niñas atendidos en Servicio integrales</t>
  </si>
  <si>
    <t xml:space="preserve">
Fortalecimiento del desarrollo integral  de los niños niñas, adolescentes y familias para la garantía, atención y promoción de sus derechos en el departamento del Quindío</t>
  </si>
  <si>
    <t>FAM-113-2026  Implementación de un Modelo de Atención a madres gestantes, madres lactantes y, niños y niñas de la primera infancia en ambientes familiares y grupales.</t>
  </si>
  <si>
    <t>0316 - 2.3.2.02.02.009.00.00.00.4102001.24106 - 20</t>
  </si>
  <si>
    <t>FAM-114-2026  Brindar asistencia técnica en las Rutas Integrales de Atención (RIA) a los Municipios del departamento del Quindío, para la adecuada implementación de la RIA.</t>
  </si>
  <si>
    <t>FAM-115-2026 Implementación y seguimiento de la Ruta Integral de Atención (RIA) del orden departamental.</t>
  </si>
  <si>
    <t>4102006</t>
  </si>
  <si>
    <t>Edificaciones de atención a la primera infancia dotadas</t>
  </si>
  <si>
    <t>Edificaciones  de atención a la primera infancia dotadas</t>
  </si>
  <si>
    <t>FAM-116-2026 Dotación para la adecuada prestación del servicio en modalidades de atención a la primera infancia.</t>
  </si>
  <si>
    <t>0316 - 2.3.2.02.01.003.00.00.00.4102006.24106 - 20</t>
  </si>
  <si>
    <t>Niños, niñas y adolescentes atendidos</t>
  </si>
  <si>
    <t>FAM-117-2026 Adquisición de material lúdico para la promoción y apoyo en actividades de la Política Pública de primera infancia, infancia y adolescencia en el Departamento del Quindío.</t>
  </si>
  <si>
    <t>0316 - 2.3.2.02.01.003.00.00.00.4102043.24106 - 01</t>
  </si>
  <si>
    <t xml:space="preserve"> REORIENTACION IMPUESTO AL REGISTRO </t>
  </si>
  <si>
    <t>FAM-118-2026  Desarrollo de los espacios de participación tales como: Consejo de Política Social, Mesa Departamental e Interinstitucional para la Primera Infancia, Infancia y Adolescencia y Familia, Mesa de Participación de Niños, Niñas y Adolescentes y CIETI.</t>
  </si>
  <si>
    <t>0316 - 2.3.2.02.02.009.00.00.00.4102043.24106 - 20</t>
  </si>
  <si>
    <t>FAM-119-2026 Realizar acciones encaminadas al cumplimiento e implementación de la Política pública de primera infancia, infancia y adolescencia en el Departamento del Quindío.</t>
  </si>
  <si>
    <t>FAM-120-2026  Realizar actividades de sensibilización y prevención de la explotación sexual comercial de niños, niñas y adolescentes, el trabajo infantil y sus peores formas y, la protección del adolescente trabajador en la población quindiana.</t>
  </si>
  <si>
    <t>FAM-121-2026  Ejecución Plan de Medios (Radio, Prensa, Revistas, Televisión, Portal Web, Redes Sociales, ooh)</t>
  </si>
  <si>
    <t>FAM-122-2026 Prestación de servicios de catering, necesarios para apoyar el adecuado desarrollo y cubrimientos de los diferentes eventos y actividades.</t>
  </si>
  <si>
    <t>0316 - 2.3.2.02.02.006.00.00.00.4102043.24106 - 20</t>
  </si>
  <si>
    <t>FAM-123-2026  Servicios de papelerías e impresos (volantes, afiches, plegables, entre otros)</t>
  </si>
  <si>
    <t>0316 - 2.3.2.02.01.003.00.00.00.4102043.24106 - 20</t>
  </si>
  <si>
    <t>FAM-124-2026 Adquisición de bienes y servicios: Logística operativa</t>
  </si>
  <si>
    <t>0316 - 2.3.2.02.02.008.00.00.00.4102043.24106 - 20</t>
  </si>
  <si>
    <t>Servicios de promoción de los derechos de los niños, niñas, adolescentes y jóvenes</t>
  </si>
  <si>
    <t>Campañas de promoción realizadas</t>
  </si>
  <si>
    <t>FAM-125-2026  Campañas de promoción y prevención para la garantía de Derechos de Niños, Niñas y Adolescentes en el departamento del Quindío.</t>
  </si>
  <si>
    <t>0316 - 2.3.2.02.02.009.00.00.00.4102046.24106 - 20</t>
  </si>
  <si>
    <t>FAM-126-2026 Articulación interinstitucional para la promoción, prevención y garantía de Derechos de Niños, Niñas y Adolescentes.</t>
  </si>
  <si>
    <t xml:space="preserve">Formulación y evaluación de instrumentos de Políticas Públicas para el abordaje de las poblaciones en situación de desprotección social del departamento del Quindío. </t>
  </si>
  <si>
    <t>FAM-127-2026 Apoyar la  elaboración de documentos técnicos y operativos para la formulación de las Políticas Públicas de Primera Infancia, Infancia y Adolescencia, Juventud, Discapacidad, Mujer y Equidad de Género, Vejez y Envejecimiento y para Comunidades Indígenas</t>
  </si>
  <si>
    <t>0316 - 2.3.2.02.02.009.00.00.00.4599019.24114 - 20</t>
  </si>
  <si>
    <t>FAM-128-2026 Fortalecimiento de las capacidades técnicas en la elaboración de Documentos de Planeación y Evaluación</t>
  </si>
  <si>
    <t>0316 - 2.3.2.01.01.003.03.02.00. 4599019.24114 - 20</t>
  </si>
  <si>
    <t>FAM-129-2026 Apoyar la elaboración de documentos técnicos periódicos para la evaluación de los instrumentos de política pública en los que la Secretaría de Familia ejerce la Secretaría Técnica</t>
  </si>
  <si>
    <t>0316 - 2.3.2.02.02.009.00.00.00.4599001.24114 - 20</t>
  </si>
  <si>
    <t>FAM-130-2026 Fortalecimiento de las capacidades técnicas en la elaboración de Documentos de Evaluación</t>
  </si>
  <si>
    <t>0316 - 2.3.2.01.01.003.03.02.00. 4599001.24114 - 20</t>
  </si>
  <si>
    <t>4502039</t>
  </si>
  <si>
    <t>Servicio de apoyo financiero para empresas y emprendimientos productivos</t>
  </si>
  <si>
    <t>Personas y empresas beneficiadas</t>
  </si>
  <si>
    <t>Fortalecimiento de emprendimientos individuales y colectivos de personas y comunidades en riesgo con enfoque diferencial para la generación de ingresos en el departamento del Quindío</t>
  </si>
  <si>
    <t>FAM-131-2026 Apoyar financieramente con la entrega de capital semilla a emprendedores pertenecientes a comunidades en riesgo y vulnerables para la generación de ingresos</t>
  </si>
  <si>
    <t>0316 - 2.3.2.02.02.009.00.00.00.4502039.24117 - 20</t>
  </si>
  <si>
    <t>4502030</t>
  </si>
  <si>
    <t>Documentos de investigación</t>
  </si>
  <si>
    <t>Documentos de investigación elaborados</t>
  </si>
  <si>
    <t>Elaboración de documentos técnicos investigativos situacionales y de caracterización para el ajuste y adopción de instrumentos de planificación en el Departamento del Quindío</t>
  </si>
  <si>
    <t>FAM-132-2026 Apoyar la  elaboración de documentos investigativos de diagnóstico situacional y de caracterización para apoyar la formulación de las Políticas Públicas de Primera Infancia, Infancia y Adolscencia, Discapacidad, Mujer y Equidad de Género, y para Comunidades Indígenas</t>
  </si>
  <si>
    <t>0316 - 2.3.2.02.02.009.00.00.00.4502030.24123 - 20</t>
  </si>
  <si>
    <t>272.744</t>
  </si>
  <si>
    <t>ALEYDA MARIN BETANCOURT</t>
  </si>
  <si>
    <t xml:space="preserve"> Salud Pública</t>
  </si>
  <si>
    <t xml:space="preserve">1905023 
</t>
  </si>
  <si>
    <t>Servicio de gestión del riesgo para abordar condiciones crónicas prevalentes.</t>
  </si>
  <si>
    <t xml:space="preserve">190502300 
</t>
  </si>
  <si>
    <t>Campañas de gestión del riesgo para abordar condiciones crónicas prevalentes implementadas.</t>
  </si>
  <si>
    <t>2024003630099</t>
  </si>
  <si>
    <t xml:space="preserve"> Implementación de la gestión integral por y para la salud de los Quindianos en el Departamento del Quindio</t>
  </si>
  <si>
    <t>SAL-1-2026 Desarrollar acciones de asistencia técnica, seguimiento, monitoreo y evaluación a los actores de SGSSS en referencia a las acciones de promoción de la salud, prevención, identificación y gestión del riesgo relacionado a las condiciones crónicas no transmisibles. (cardiovasculares, metabólicas, respiratorias crónicas, cáncer, autoinmunes, enfermedades de los órganos de los sentidos y enfermedades huérfanas/raras).</t>
  </si>
  <si>
    <t>1803 - 2.3.2.02.02.009.00.00.00.1905023.24099 - 61</t>
  </si>
  <si>
    <t>SGP SALUD SALUD PUBLICA C.S.F</t>
  </si>
  <si>
    <t>ENERO - 2026</t>
  </si>
  <si>
    <t>31 - DICIEMBRE - 2026</t>
  </si>
  <si>
    <t>SECRETARIO DEPARTAMENTAL DE SALUD</t>
  </si>
  <si>
    <t>SAL-2-2026 Ejecutar acciones de seguimiento y monitoreo a la implementación de las Rutas de Atención Integral para los grupos de riesgo relacionadas a las condiciones no transmisibles por parte de las EAPB e IPS en el departamento.</t>
  </si>
  <si>
    <t>1803 - 2.3.2.02.02.009.00.00.00.1905023 
.24099 - 61</t>
  </si>
  <si>
    <t xml:space="preserve">1905025 
</t>
  </si>
  <si>
    <t>Servicio de gestión del riesgo para abordar situaciones prevalentes de origen laboral</t>
  </si>
  <si>
    <t>Campañas de gestión del riesgo para abordar situaciones prevalentes de origen laboral implementadas</t>
  </si>
  <si>
    <t>SAL-3-2026 Brindar campañas de apoyo y seguimiento a las diferentes E.S.E. (Empresa Social del Estado), y Salas Amigas de la familia lactante en el entorno laboral de los municipios del departamento.</t>
  </si>
  <si>
    <t>1803 - 2.3.2.02.02.009.00.00.00.1905025 
.24099 - 61</t>
  </si>
  <si>
    <t>Trabajadores informales con gestión del riesgo para abordar situaciones prevalentes de origen laboral acompañados</t>
  </si>
  <si>
    <t>SAL-4-2026 Realizar asistencias técnicas en Seguridad y Salud en el Trabajo a diferentes trabajadores informales para abordar situaciones prevalentes de origen laboral acompañados</t>
  </si>
  <si>
    <t>Estrategias de gestión del riesgo para abordar situaciones prevalentes de origen laboral implementadas</t>
  </si>
  <si>
    <t>SAL-5-2026 Realizar Estrategias de gestión del riesgo en Seguridad y Salud en el Trabajo a diferentes sectores económicos del departamento y prestar apoyo en todas las actividades relacionadas con el área de salud y ámbito laboral a empresas prestadoras de servicios en SST.</t>
  </si>
  <si>
    <t>SAL-6-2026 Realizar Estrategias de gestión del riesgo en Seguridad y Salud en el Trabajo a diferentes sectores económicos del departamento y prestar apoyo en todas las actividades relacionadas con el área de salud y ámbito laboral a empresas prestadoras de servicios en SST.</t>
  </si>
  <si>
    <t>0318 - 2.3.2.02.02.009.00.00.00.1905025 
.24099 - 20</t>
  </si>
  <si>
    <t>Servicio de gestión del riesgo para temas de consumo, aprovechamiento biológico, calidad e inocuidad de los alimentos</t>
  </si>
  <si>
    <t>Campañas de gestión del riesgo para temas de consumo, aprovechamiento biológico, calidad e inocuidad de los alimentos implementadas</t>
  </si>
  <si>
    <t>SAL-7-2026 Realizar campañas de gestión del riesgo para fortalecer los conocimientos normativos en establecimientos del sector gastronómico del departamento del quindio.</t>
  </si>
  <si>
    <t>1803 - 2.3.2.02.02.009.00.00.00.1905028.24099 - 61</t>
  </si>
  <si>
    <t xml:space="preserve">190502802
</t>
  </si>
  <si>
    <t>Estrategias de gestión para temas de consumo, aprovechamiento biológico, calidad e inocuidad de los alimentos implementadas</t>
  </si>
  <si>
    <t>SAL-8-2026 Realizar apoyo en la asistencia técnica, seguimiento, monitoreo y vigilancia a las EAPB , IPS, y entidades territoriales del orden municipal en el desarrollo de estrategias de gestión del riesgo en el consumo, aprovechamiento biológico, calidad e inocuidad de los alimentos</t>
  </si>
  <si>
    <t xml:space="preserve">1905030
</t>
  </si>
  <si>
    <t>Servicio de atención en salud pública en situaciones de emergencias y desastres</t>
  </si>
  <si>
    <t xml:space="preserve">Personas en capacidad de ser atendidas
</t>
  </si>
  <si>
    <t>SAL-9-2026 Servicio de atención en salud pública ante situaciones de emergencias, brotes y desastres que pongan en riesgo la salud pública de los quindianos realizando asistencias técnicas y fortalecimiento de estrategias de planes hospitalarios y/o resilientes y/o en misión médica.</t>
  </si>
  <si>
    <t>1803 - 2.3.2.02.02.009.00.00.00.1905030
.24099 - 61</t>
  </si>
  <si>
    <t>Servicio de promoción de la salud y prevención de riesgos asociados a condiciones no transmisibles.</t>
  </si>
  <si>
    <t>Campañas de promoción de la salud  y prevención de riesgos asociados a condiciones no transmisibles implementadas.</t>
  </si>
  <si>
    <t>SAL-10-2026 Desarrollar acciones de promoción de la salud dirigidos a fomentar hábitos de vida saludable para la preservación de la salud y la prevención de enfermedades crónicas no trasmisibles en los diferentes entornos a través de la implementación de las estrategias relacionadas. (CERS y 4x4)</t>
  </si>
  <si>
    <t>1803 - 2.3.2.02.02.009.00.00.00.1905031.24099 - 61</t>
  </si>
  <si>
    <t xml:space="preserve">1905031
</t>
  </si>
  <si>
    <t>SAL-11-2026 Desarrollar acciones de promoción de la salud dirigidos a fomentar hábitos de vida saludable para la preservación de la salud y la prevención de enfermedades crónicas no trasmisibles en los diferentes entornos a través de la implementación de las estrategias relacionadas. (CERS y 4x4)</t>
  </si>
  <si>
    <t>0318 - 2.3.2.02.02.009.00.00.00.1905031.24099 - 20</t>
  </si>
  <si>
    <t>SAL-12-2026 Desarrollar acciones en los CBA y CVD de promoción de la salud dirigidos a fomentar hábitos de vida saludable para la preservación de la salud y la prevención de enfermedades crónicas no trasmisibles y procesos de asistencia técnica para su funcionamiento.</t>
  </si>
  <si>
    <t>0318 - 2.3.2.02.02.009.00.00.00.1905031
.24099 - 20</t>
  </si>
  <si>
    <t>Servicio de atención psicosocial a víctimas del conflicto armado</t>
  </si>
  <si>
    <t>Personas víctimas del conflicto armado atendidas con atención psicosocial</t>
  </si>
  <si>
    <t>SAL-13-2026 Proceso de coordinación institucional para el seguimiento a las equipos básicos en salud en el fortalecimiento de APS; y de apoyo a la gestión de poblaciones especiales, y la realización de acciones para la atención psicosocial a las víctimas del conflicto armado en sus modalidades individual y familiar</t>
  </si>
  <si>
    <t>1803 - 2.3.2.02.02.009.00.00.00.1905041.24099 - 61</t>
  </si>
  <si>
    <t>Entidades apoyadas</t>
  </si>
  <si>
    <t>SAL-14-2026 Realizar apoyo en la asistencia técnica, seguimiento, monitoreo y vigilancia a las EAPB , IPS, y entidades territoriales del orden municipal frente a las responsabilidades establecidas en la Resolución 3280 de 2018, Resolución 4505 de 2012, Resolución 202 de 2021, y del cumplimiento de las coberturas de los indicadores de Protección Específica y Detección Temprana en el marco de las intervenciones de las RIAS de obligatorio cumplimiento, y requerir los planes de mejoramiento que le sean necesarios según los hallazgos.</t>
  </si>
  <si>
    <t>1803 - 2.3.2.02.02.009.00.00.00.1905050.24099 - 61</t>
  </si>
  <si>
    <t>Servicio de promoción de la salud</t>
  </si>
  <si>
    <t>Estrategias de promoción de la salud en situaciones prevalentes de origen laboral implementadas</t>
  </si>
  <si>
    <t>SAL-15-2026 Brindar apoyo en la caracterización, capacitación, sensibilización e inspección de la implementación del Sistema Gestión de la seguridad y la Salud en el trabajo y eliminación de la violencia sexual laboral.</t>
  </si>
  <si>
    <t>1803 - 2.3.2.02.02.009.00.00.00.1905054.24099 - 61</t>
  </si>
  <si>
    <t>Estrategias de promoción de la salud para temas de consumo, aprovechamiento biológico, calidad e inocuidad de los alimentos implementadas</t>
  </si>
  <si>
    <t>SAL-16-2026 Ejecutar acciones para la implementación de estrategias de promoción de la salud en poblaciones vulnerables destinadas a prevenir las enfermedades rerlacionadas al temas de consumo, aprovechamiento biológico</t>
  </si>
  <si>
    <t>SAL-17-2026 Realizar acciones de informacion educacion y comunicación (promoción de la salud) relacionada con la manipulacion adecuada de alimentos</t>
  </si>
  <si>
    <t>0318 - 2.3.2.02.02.009.00.00.00.1905054.24099 - 20</t>
  </si>
  <si>
    <t>Centros reguladores de urgencias, emergencias y desastres dotados</t>
  </si>
  <si>
    <t xml:space="preserve">Centros reguladores de urgencias, emergencias y desastres dotados </t>
  </si>
  <si>
    <t xml:space="preserve"> 2024003630100</t>
  </si>
  <si>
    <t>Operación del Centro Regulador de Urgencias y Emergencias CRUE en el Departamento del Quindío.</t>
  </si>
  <si>
    <t xml:space="preserve">SAL-18-2026 Realizar asistencia tecnica para el fortalecimiento de las capacidades de respuesta de las diferentes entidades que conforman la red de servicios de salud del Dpto. </t>
  </si>
  <si>
    <t>0318 - 2.3.2.02.02.009.00.00.00.1905009.24100 - 20</t>
  </si>
  <si>
    <t>SAL-19-2026 Brindar apoyo a la Direccion de Salud Publica para la adecuada operacion de la ruta de fallecidos en casa</t>
  </si>
  <si>
    <t>SAL-20-2026 Realizar las actividades propias de la regulación de los servicios de salud en el Departamento del Quindio</t>
  </si>
  <si>
    <t>SAL-21-2026 Apoyar los sistemas de comunicaciones del CRUE</t>
  </si>
  <si>
    <t>Aseguramiento y prestación integral de servicios de salud</t>
  </si>
  <si>
    <t xml:space="preserve">Servicio de tecnologías en salud financiadas con la unidad de pago por capitación - UPC </t>
  </si>
  <si>
    <t>Pacientes atendidos con medicamentos en salud financiados con cargo a los recursos de la UPC del Régimen Subsidiado</t>
  </si>
  <si>
    <t>2024003630101</t>
  </si>
  <si>
    <t>Servicio de atención oportuna e integral a la población inimputable del Departamento del Quindío.</t>
  </si>
  <si>
    <t>SAL-22-2026 Atender pacientes financiados, en el marco de los lineamientos de las transferencias de la Nacion</t>
  </si>
  <si>
    <t>1802 - 2.3.2.02.02.009.00.00.00.1906023.24101 - 110</t>
  </si>
  <si>
    <t>PROGRAMA INIMPUTABLES</t>
  </si>
  <si>
    <t>Servicio de atención en salud a la población</t>
  </si>
  <si>
    <t>Personas atendidas con servicio de salud</t>
  </si>
  <si>
    <t>2024003630104</t>
  </si>
  <si>
    <t>Cofinanciación del Régimen Subsidiado y apoyo a la prestación de servicios de Salud en el Departamento del Quindío</t>
  </si>
  <si>
    <t>SAL-23-2026 Realización de validación, identificación y depuración del sistema de información de los servicios prestados a poblaciones especiales y no PBS para el reconocimiento y realización de las acciones administrativas pertinentes.</t>
  </si>
  <si>
    <t>0318 - 2.3.2.02.02.009.00.00.00.1906004.24104 - 20</t>
  </si>
  <si>
    <t xml:space="preserve">                
Personas afiliadas en servicio de salud</t>
  </si>
  <si>
    <t>SAL-24-2026 Realizar acciones para garantizar la afiliacion de personas al servicio de salud, con procesos de seguimiento en el aseguramiento de la población  pobre no asegurada migrante</t>
  </si>
  <si>
    <t xml:space="preserve">1906023
</t>
  </si>
  <si>
    <t>Pacientes atendidos con tecnologías en salud financiados con cargo a los recursos de la UPC del Régimen Subsidiado</t>
  </si>
  <si>
    <t xml:space="preserve">SAL-25-2026 Gestión de recursos para cofinanciación de la afiliación a los municipios y lugares de afiliación. </t>
  </si>
  <si>
    <t>0318 - 2.3.2.02.02.009.00.00.00.1906023.24104 - 20</t>
  </si>
  <si>
    <t xml:space="preserve">1906025                    
</t>
  </si>
  <si>
    <t xml:space="preserve">Servicio de apoyo financiero para el fortalecimiento patrimonial de las empresas prestadoras de salud con participación financiera de las entidades territoriales </t>
  </si>
  <si>
    <t xml:space="preserve">                   
Empresas prestadoras de salud capitalizadas</t>
  </si>
  <si>
    <t>SAL-26-2026 Realización del seguimiento al saneamiento de carteras en la red de prestadores de servicios de salud, supervision y creación de los actos administrativos para la transferencia de los recursos adeudados  por prestacion de servicios a la población no Afiliada al Sistema General de Seguridad Social en Salud y en el NO POS a la Población del Régimen Subsidiado.</t>
  </si>
  <si>
    <t>1802 - 2.3.2.02.02.009.00.00.00.1906025.24104 - 171</t>
  </si>
  <si>
    <t>SUBSIDIO A LA OFERTA</t>
  </si>
  <si>
    <t>SAL-27-2026 Realización del seguimiento al saneamiento de carteras en la red de prestadores de servicios de salud, supervision y creación de los actos administrativos para la transferencia de los recursos adeudados  por prestacion de servicios a la población no Afiliada al Sistema General de Seguridad Social en Salud y en el NO POS a la Población del Régimen Subsidiado.</t>
  </si>
  <si>
    <t>1802 - 2.3.2.02.02.009.00.00.00.1906025.24104 - 238</t>
  </si>
  <si>
    <t>MONOPOLIO DE LICORES - PRESTACION DE SERVICIOS</t>
  </si>
  <si>
    <t>SAL-28-2026 Realización del seguimiento al saneamiento de carteras en la red de prestadores de servicios de salud, supervision y creación de los actos administrativos para la transferencia de los recursos adeudados  por prestacion de servicios a la población no Afiliada al Sistema General de Seguridad Social en Salud y en el NO POS a la Población del Régimen Subsidiado.</t>
  </si>
  <si>
    <t>1802 - 2.3.2.02.02.009.00.00.00.1906025.24104 - 241</t>
  </si>
  <si>
    <t>IMPUESTO AL CONSUMO LICO - PRESTACION DE SERVICIOS</t>
  </si>
  <si>
    <t>SAL-29-2026 Realización del seguimiento al saneamiento de carteras en la red de prestadores de servicios de salud, supervision y creación de los actos administrativos para la transferencia de los recursos adeudados  por prestacion de servicios a la población no Afiliada al Sistema General de Seguridad Social en Salud y en el NO POS a la Población del Régimen Subsidiado.</t>
  </si>
  <si>
    <t>1802 - 2.3.2.02.02.009.00.00.00.1906025.24104. - 244</t>
  </si>
  <si>
    <t>IMPUESTO CERVEZA - PRESTACION DE SERVICIOS</t>
  </si>
  <si>
    <t>SAL-30-2026 Realización del seguimiento al saneamiento de carteras en la red de prestadores de servicios de salud, supervision y creación de los actos administrativos para la transferencia de los recursos adeudados  por prestacion de servicios a la población no Afiliada al Sistema General de Seguridad Social en Salud y en el NO POS a la Población del Régimen Subsidiado.</t>
  </si>
  <si>
    <t>1801 - 2.3.2.02.02.009.00.00.00.1906025.24104 - 266</t>
  </si>
  <si>
    <t>DEPOSITOS ADRES</t>
  </si>
  <si>
    <t>Servicio de asistencia técnica a Instituciones prestadoras de servicios de salud</t>
  </si>
  <si>
    <t>Instituciones Prestadoras de Servicios de salud asistidas técnicamente</t>
  </si>
  <si>
    <t>SAL-31-2026 Realización de asistencia técnicas  a las Instituciones Prestadoras de Servicios de salud IPS, en los procesos financieros.</t>
  </si>
  <si>
    <t>0318 - 2.3.2.02.02.009.00.00.00.1906029.24104 - 20</t>
  </si>
  <si>
    <t xml:space="preserve">1906035                    
</t>
  </si>
  <si>
    <t>Servicio de apoyo financiero para la atención en salud a la población</t>
  </si>
  <si>
    <t xml:space="preserve">  Instituciones financiadas para la atención en salud a la población</t>
  </si>
  <si>
    <t>SAL-32-2026 Realización de los cálculos para la distribución de los recursos asignados con el respectivo seguimiento, supervision y los actos administrativos para la transferencia de los recursos de apoyo financiero para el fortalecimiento patrimonial de las empresas prestadoras de salud</t>
  </si>
  <si>
    <t>0318 - 2.3.2.02.02.009.00.00.00.1906035.24104 - 20</t>
  </si>
  <si>
    <t xml:space="preserve">1906041
</t>
  </si>
  <si>
    <t xml:space="preserve">
Asistencias técnicas realizadas</t>
  </si>
  <si>
    <t>SAL-33-2026 Realización de asistencia técnicas  a las Instituciones Prestadoras de Servicios de salud IPS, en los procesos financieros y otros actores del sistema.</t>
  </si>
  <si>
    <t>0318 - 2.3.2.02.02.009.00.00.00.1906041.24104 - 20</t>
  </si>
  <si>
    <t>Servicio de afiliaciones al régimen subsidiado del Sistema General de Seguridad Social</t>
  </si>
  <si>
    <t>Personas afiliadas al régimen subsidiado</t>
  </si>
  <si>
    <t>SAL-34-2026 Realizar acciones de afiliación de personas al régimen subsidiado a través de estrategias de identificación, jornadas municipales y actualizacion de sistema de información.</t>
  </si>
  <si>
    <t>0318 - 2.3.2.02.02.009.00.00.00.1906044.24104.00000 - 35</t>
  </si>
  <si>
    <t>SAL-35-2026 Realizar acciones de afiliación de personas al régimen subsidiado a través de estrategias de identificación, jornadas municipales y actualizacion de sistema de información.</t>
  </si>
  <si>
    <t>1801 - 2.3.2.02.02.009.00.00.00.1906044.24104.00096 - 154</t>
  </si>
  <si>
    <t>ADRES SINSITUACION DE FONDOS</t>
  </si>
  <si>
    <t>SAL-36-2026 Realizar acciones de afiliación de personas al régimen subsidiado a través de estrategias de identificación, jornadas municipales y actualizacion de sistema de información.</t>
  </si>
  <si>
    <t>1801 - 2.3.2.02.02.009.00.00.00.1906044.24104.00233 - 154</t>
  </si>
  <si>
    <t>SAL-37-2026 Realizar acciones de afiliación de personas al régimen subsidiado a través de estrategias de identificación, jornadas municipales y actualizacion de sistema de información.</t>
  </si>
  <si>
    <t>1801 - 2.3.2.02.02.009.00.00.00.1906044.24104.00284 - 154</t>
  </si>
  <si>
    <t>SAL-38-2026 Realizar acciones de afiliación de personas al régimen subsidiado a través de estrategias de identificación, jornadas municipales y actualizacion de sistema de información.</t>
  </si>
  <si>
    <t>1801 - 2.3.2.02.02.009.00.00.00.1906044.24104.00412 - 154</t>
  </si>
  <si>
    <t>SAL-39-2026 Realizar acciones de afiliación de personas al régimen subsidiado a través de estrategias de identificación, jornadas municipales y actualizacion de sistema de información.</t>
  </si>
  <si>
    <t>1801 - 2.3.2.02.02.009.00.00.00.1906044.24104.00470 - 154</t>
  </si>
  <si>
    <t>SAL-40-2026 Realizar acciones de afiliación de personas al régimen subsidiado a través de estrategias de identificación, jornadas municipales y actualizacion de sistema de información.</t>
  </si>
  <si>
    <t>1801 - 2.3.2.02.02.009.00.00.00.1906044.24104.02226 - 154</t>
  </si>
  <si>
    <t>SAL-41-2026 Realizar acciones de afiliación de personas al régimen subsidiado a través de estrategias de identificación, jornadas municipales y actualizacion de sistema de información.</t>
  </si>
  <si>
    <t>1801 - 2.3.2.02.02.009.00.00.00.1906044.24104.02372 - 154</t>
  </si>
  <si>
    <t>SAL-42-2026 Realizar acciones de afiliación de personas al régimen subsidiado a través de estrategias de identificación, jornadas municipales y actualizacion de sistema de información.</t>
  </si>
  <si>
    <t>1801 - 2.3.2.02.02.009.00.00.00.1906044.24104.02882 - 154</t>
  </si>
  <si>
    <t>SAL-43-2026 Realizar acciones de afiliación de personas al régimen subsidiado a través de estrategias de identificación, jornadas municipales y actualizacion de sistema de información.</t>
  </si>
  <si>
    <t>1801 - 2.3.2.02.02.009.00.00.00.1906044.24104.03013 - 154</t>
  </si>
  <si>
    <t>SAL-44-2026 Realizar acciones de afiliación de personas al régimen subsidiado a través de estrategias de identificación, jornadas municipales y actualizacion de sistema de información.</t>
  </si>
  <si>
    <t>1801 - 2.3.2.02.02.009.00.00.00.1906044.24104.03167  - 154</t>
  </si>
  <si>
    <t>SAL-45-2026 Realizar acciones de afiliación de personas al régimen subsidiado a través de estrategias de identificación, jornadas municipales y actualizacion de sistema de información.</t>
  </si>
  <si>
    <t>1801 - 2.3.2.02.02.009.00.00.00.1906044.24104.03244 - 154</t>
  </si>
  <si>
    <t>SAL-46-2026 Realizar acciones de afiliación de personas al régimen subsidiado a través de estrategias de identificación, jornadas municipales y actualizacion de sistema de información.</t>
  </si>
  <si>
    <t>1801 - 2.3.2.02.02.009.00.00.00.1906044.24104.03303 - 154</t>
  </si>
  <si>
    <t>SAL-47-2026 Realizar acciones de afiliación de personas al régimen subsidiado a través de estrategias de identificación, jornadas municipales y actualizacion de sistema de información.</t>
  </si>
  <si>
    <t>1801 - 2.3.2.02.02.009.00.00.00.1906044.24104.00096 - 237</t>
  </si>
  <si>
    <t>MONOPOLIO DE LICORES - REGIMEN SUBSIDIADO</t>
  </si>
  <si>
    <t>SAL-48-2026 Realizar acciones de afiliación de personas al régimen subsidiado a través de estrategias de identificación, jornadas municipales y actualizacion de sistema de información.</t>
  </si>
  <si>
    <t>1801 - 2.3.2.02.02.009.00.00.00.1906044.24104.00233 - 237</t>
  </si>
  <si>
    <t>SAL-49-2026 Realizar acciones de afiliación de personas al régimen subsidiado a través de estrategias de identificación, jornadas municipales y actualizacion de sistema de información.</t>
  </si>
  <si>
    <t>1801 - 2.3.2.02.02.009.00.00.00.1906044.24104.00284 - 237</t>
  </si>
  <si>
    <t>SAL-50-2026 Realizar acciones de afiliación de personas al régimen subsidiado a través de estrategias de identificación, jornadas municipales y actualizacion de sistema de información.</t>
  </si>
  <si>
    <t>1801 - 2.3.2.02.02.009.00.00.00.1906044.24104.00412 - 237</t>
  </si>
  <si>
    <t>SAL-51-2026 Realizar acciones de afiliación de personas al régimen subsidiado a través de estrategias de identificación, jornadas municipales y actualizacion de sistema de información.</t>
  </si>
  <si>
    <t>1801 - 2.3.2.02.02.009.00.00.00.1906044.24104.00470 - 237</t>
  </si>
  <si>
    <t>SAL-52-2026 Realizar acciones de afiliación de personas al régimen subsidiado a través de estrategias de identificación, jornadas municipales y actualizacion de sistema de información.</t>
  </si>
  <si>
    <t>1801 - 2.3.2.02.02.009.00.00.00.1906044.24104.02226 - 237</t>
  </si>
  <si>
    <t>SAL-53-2026 Realizar acciones de afiliación de personas al régimen subsidiado a través de estrategias de identificación, jornadas municipales y actualizacion de sistema de información.</t>
  </si>
  <si>
    <t>1801 - 2.3.2.02.02.009.00.00.00.1906044.24104.02372 - 237</t>
  </si>
  <si>
    <t>SAL-54-2026 Realizar acciones de afiliación de personas al régimen subsidiado a través de estrategias de identificación, jornadas municipales y actualizacion de sistema de información.</t>
  </si>
  <si>
    <t>1801 - 2.3.2.02.02.009.00.00.00.1906044.24104.02882 - 237</t>
  </si>
  <si>
    <t>SAL-55-2026 Realizar acciones de afiliación de personas al régimen subsidiado a través de estrategias de identificación, jornadas municipales y actualizacion de sistema de información.</t>
  </si>
  <si>
    <t>1801 - 2.3.2.02.02.009.00.00.00.1906044.24104.03013 - 237</t>
  </si>
  <si>
    <t>SAL-56-2026 Realizar acciones de afiliación de personas al régimen subsidiado a través de estrategias de identificación, jornadas municipales y actualizacion de sistema de información.</t>
  </si>
  <si>
    <t>1801 - 2.3.2.02.02.009.00.00.00.1906044.24104.03167  - 237</t>
  </si>
  <si>
    <t>SAL-57-2026 Realizar acciones de afiliación de personas al régimen subsidiado a través de estrategias de identificación, jornadas municipales y actualizacion de sistema de información.</t>
  </si>
  <si>
    <t>1801 - 2.3.2.02.02.009.00.00.00.1906044.24104.03244 - 237</t>
  </si>
  <si>
    <t>SAL-58-2026 Realizar acciones de afiliación de personas al régimen subsidiado a través de estrategias de identificación, jornadas municipales y actualizacion de sistema de información.</t>
  </si>
  <si>
    <t>1801 - 2.3.2.02.02.009.00.00.00.1906044.24104.03303 - 237</t>
  </si>
  <si>
    <t>SAL-59-2026 Realizar acciones de afiliación de personas al régimen subsidiado a través de estrategias de identificación, jornadas municipales y actualizacion de sistema de información.</t>
  </si>
  <si>
    <t>1801 - 2.3.2.02.02.009.00.00.00.1906044.24104.00096 - 240</t>
  </si>
  <si>
    <t>IMPUESTO AL CONSUMO LICO - REGIMEN SUBSIDIADO</t>
  </si>
  <si>
    <t>SAL-60-2026 Realizar acciones de afiliación de personas al régimen subsidiado a través de estrategias de identificación, jornadas municipales y actualizacion de sistema de información.</t>
  </si>
  <si>
    <t>1801 - 2.3.2.02.02.009.00.00.00.1906044.24104.00233 - 240</t>
  </si>
  <si>
    <t>SAL-61-2026 Realizar acciones de afiliación de personas al régimen subsidiado a través de estrategias de identificación, jornadas municipales y actualizacion de sistema de información.</t>
  </si>
  <si>
    <t>1801 - 2.3.2.02.02.009.00.00.00.1906044.24104.00284 - 240</t>
  </si>
  <si>
    <t>SAL-62-2026 Realizar acciones de afiliación de personas al régimen subsidiado a través de estrategias de identificación, jornadas municipales y actualizacion de sistema de información.</t>
  </si>
  <si>
    <t>1801 - 2.3.2.02.02.009.00.00.00.1906044.24104.00412 - 240</t>
  </si>
  <si>
    <t>SAL-63-2026 Realizar acciones de afiliación de personas al régimen subsidiado a través de estrategias de identificación, jornadas municipales y actualizacion de sistema de información.</t>
  </si>
  <si>
    <t>1801 - 2.3.2.02.02.009.00.00.00.1906044.24104.00470 - 240</t>
  </si>
  <si>
    <t>SAL-64-2026 Realizar acciones de afiliación de personas al régimen subsidiado a través de estrategias de identificación, jornadas municipales y actualizacion de sistema de información.</t>
  </si>
  <si>
    <t>1801 - 2.3.2.02.02.009.00.00.00.1906044.24104.02226 - 240</t>
  </si>
  <si>
    <t>SAL-65-2026 Realizar acciones de afiliación de personas al régimen subsidiado a través de estrategias de identificación, jornadas municipales y actualizacion de sistema de información.</t>
  </si>
  <si>
    <t>1801 - 2.3.2.02.02.009.00.00.00.1906044.24104.02372 - 240</t>
  </si>
  <si>
    <t>SAL-66-2026 Realizar acciones de afiliación de personas al régimen subsidiado a través de estrategias de identificación, jornadas municipales y actualizacion de sistema de información.</t>
  </si>
  <si>
    <t>1801 - 2.3.2.02.02.009.00.00.00.1906044.24104.02882 - 240</t>
  </si>
  <si>
    <t>SAL-67-2026 Realizar acciones de afiliación de personas al régimen subsidiado a través de estrategias de identificación, jornadas municipales y actualizacion de sistema de información.</t>
  </si>
  <si>
    <t>1801 - 2.3.2.02.02.009.00.00.00.1906044.24104.03013 - 240</t>
  </si>
  <si>
    <t>SAL-68-2026 Realizar acciones de afiliación de personas al régimen subsidiado a través de estrategias de identificación, jornadas municipales y actualizacion de sistema de información.</t>
  </si>
  <si>
    <t>1801 - 2.3.2.02.02.009.00.00.00.1906044.24104.03167  - 240</t>
  </si>
  <si>
    <t>SAL-69-2026 Realizar acciones de afiliación de personas al régimen subsidiado a través de estrategias de identificación, jornadas municipales y actualizacion de sistema de información.</t>
  </si>
  <si>
    <t>1801 - 2.3.2.02.02.009.00.00.00.1906044.24104.03244 - 240</t>
  </si>
  <si>
    <t>SAL-70-2026 Realizar acciones de afiliación de personas al régimen subsidiado a través de estrategias de identificación, jornadas municipales y actualizacion de sistema de información.</t>
  </si>
  <si>
    <t>1801 - 2.3.2.02.02.009.00.00.00.1906044.24104.03303 - 240</t>
  </si>
  <si>
    <t>SAL-71-2026 Realizar acciones de afiliación de personas al régimen subsidiado a través de estrategias de identificación, jornadas municipales y actualizacion de sistema de información.</t>
  </si>
  <si>
    <t>1801 - 2.3.2.02.02.009.00.00.00.1906044.24104.00096 - 243</t>
  </si>
  <si>
    <t>IMPUESTO CERVEZA - REGIMEN SUBSIDIADO</t>
  </si>
  <si>
    <t>SAL-72-2026 Realizar acciones de afiliación de personas al régimen subsidiado a través de estrategias de identificación, jornadas municipales y actualizacion de sistema de información.</t>
  </si>
  <si>
    <t>1801 - 2.3.2.02.02.009.00.00.00.1906044.24104.00233 - 243</t>
  </si>
  <si>
    <t>SAL-73-2026 Realizar acciones de afiliación de personas al régimen subsidiado a través de estrategias de identificación, jornadas municipales y actualizacion de sistema de información.</t>
  </si>
  <si>
    <t>1801 - 2.3.2.02.02.009.00.00.00.1906044.24104.00284 - 243</t>
  </si>
  <si>
    <t>SAL-74-2026 Realizar acciones de afiliación de personas al régimen subsidiado a través de estrategias de identificación, jornadas municipales y actualizacion de sistema de información.</t>
  </si>
  <si>
    <t>1801 - 2.3.2.02.02.009.00.00.00.1906044.24104.00412 - 243</t>
  </si>
  <si>
    <t>SAL-75-2026 Realizar acciones de afiliación de personas al régimen subsidiado a través de estrategias de identificación, jornadas municipales y actualizacion de sistema de información.</t>
  </si>
  <si>
    <t>1801 - 2.3.2.02.02.009.00.00.00.1906044.24104.00470 - 243</t>
  </si>
  <si>
    <t>SAL-76-2026 Realizar acciones de afiliación de personas al régimen subsidiado a través de estrategias de identificación, jornadas municipales y actualizacion de sistema de información.</t>
  </si>
  <si>
    <t>1801 - 2.3.2.02.02.009.00.00.00.1906044.24104.02226 - 243</t>
  </si>
  <si>
    <t>SAL-77-2026 Realizar acciones de afiliación de personas al régimen subsidiado a través de estrategias de identificación, jornadas municipales y actualizacion de sistema de información.</t>
  </si>
  <si>
    <t>1801 - 2.3.2.02.02.009.00.00.00.1906044.24104.02372 - 243</t>
  </si>
  <si>
    <t>SAL-78-2026 Realizar acciones de afiliación de personas al régimen subsidiado a través de estrategias de identificación, jornadas municipales y actualizacion de sistema de información.</t>
  </si>
  <si>
    <t>1801 - 2.3.2.02.02.009.00.00.00.1906044.24104.02882 - 243</t>
  </si>
  <si>
    <t>SAL-79-2026 Realizar acciones de afiliación de personas al régimen subsidiado a través de estrategias de identificación, jornadas municipales y actualizacion de sistema de información.</t>
  </si>
  <si>
    <t>1801 - 2.3.2.02.02.009.00.00.00.1906044.24104.03013 - 243</t>
  </si>
  <si>
    <t>SAL-80-2026 Realizar acciones de afiliación de personas al régimen subsidiado a través de estrategias de identificación, jornadas municipales y actualizacion de sistema de información.</t>
  </si>
  <si>
    <t>1801 - 2.3.2.02.02.009.00.00.00.1906044.24104.03167  - 243</t>
  </si>
  <si>
    <t>SAL-81-2026 Realizar acciones de afiliación de personas al régimen subsidiado a través de estrategias de identificación, jornadas municipales y actualizacion de sistema de información.</t>
  </si>
  <si>
    <t>1801 - 2.3.2.02.02.009.00.00.00.1906044.24104.03244 - 243</t>
  </si>
  <si>
    <t>SAL-82-2026 Realizar acciones de afiliación de personas al régimen subsidiado a través de estrategias de identificación, jornadas municipales y actualizacion de sistema de información.</t>
  </si>
  <si>
    <t>1801 - 2.3.2.02.02.009.00.00.00.1906044.24104.03303 - 243</t>
  </si>
  <si>
    <t>SAL-83-2026 Realizar acciones de afiliación de personas al régimen subsidiado a través de estrategias de identificación, jornadas municipales y actualizacion de sistema de información.</t>
  </si>
  <si>
    <t>1801 - 2.3.2.02.02.009.00.00.00.1906044.24104.00096 - 246</t>
  </si>
  <si>
    <t>IMPUESTO A GANADORES - SSF - REGIMEN SUBSIADO</t>
  </si>
  <si>
    <t>SAL-84-2026 Realizar acciones de afiliación de personas al régimen subsidiado a través de estrategias de identificación, jornadas municipales y actualizacion de sistema de información.</t>
  </si>
  <si>
    <t>1801 - 2.3.2.02.02.009.00.00.00.1906044.24104.00233 - 246</t>
  </si>
  <si>
    <t>SAL-85-2026 Realizar acciones de afiliación de personas al régimen subsidiado a través de estrategias de identificación, jornadas municipales y actualizacion de sistema de información.</t>
  </si>
  <si>
    <t>1801 - 2.3.2.02.02.009.00.00.00.1906044.24104.00284 - 246</t>
  </si>
  <si>
    <t>SAL-86-2026 Realizar acciones de afiliación de personas al régimen subsidiado a través de estrategias de identificación, jornadas municipales y actualizacion de sistema de información.</t>
  </si>
  <si>
    <t>1801 - 2.3.2.02.02.009.00.00.00.1906044.24104.00412 - 246</t>
  </si>
  <si>
    <t>SAL-87-2026 Realizar acciones de afiliación de personas al régimen subsidiado a través de estrategias de identificación, jornadas municipales y actualizacion de sistema de información.</t>
  </si>
  <si>
    <t>1801 - 2.3.2.02.02.009.00.00.00.1906044.24104.00470 - 246</t>
  </si>
  <si>
    <t>SAL-88-2026 Realizar acciones de afiliación de personas al régimen subsidiado a través de estrategias de identificación, jornadas municipales y actualizacion de sistema de información.</t>
  </si>
  <si>
    <t>1801 - 2.3.2.02.02.009.00.00.00.1906044.24104.02226 - 246</t>
  </si>
  <si>
    <t>SAL-89-2026 Realizar acciones de afiliación de personas al régimen subsidiado a través de estrategias de identificación, jornadas municipales y actualizacion de sistema de información.</t>
  </si>
  <si>
    <t>1801 - 2.3.2.02.02.009.00.00.00.1906044.24104.02372 - 246</t>
  </si>
  <si>
    <t>SAL-90-2026 Realizar acciones de afiliación de personas al régimen subsidiado a través de estrategias de identificación, jornadas municipales y actualizacion de sistema de información.</t>
  </si>
  <si>
    <t>1801 - 2.3.2.02.02.009.00.00.00.1906044.24104.02882 - 246</t>
  </si>
  <si>
    <t>SAL-91-2026 Realizar acciones de afiliación de personas al régimen subsidiado a través de estrategias de identificación, jornadas municipales y actualizacion de sistema de información.</t>
  </si>
  <si>
    <t>1801 - 2.3.2.02.02.009.00.00.00.1906044.24104.03013 - 246</t>
  </si>
  <si>
    <t>SAL-92-2026 Realizar acciones de afiliación de personas al régimen subsidiado a través de estrategias de identificación, jornadas municipales y actualizacion de sistema de información.</t>
  </si>
  <si>
    <t>1801 - 2.3.2.02.02.009.00.00.00.1906044.24104.03167  - 246</t>
  </si>
  <si>
    <t>SAL-93-2026 Realizar acciones de afiliación de personas al régimen subsidiado a través de estrategias de identificación, jornadas municipales y actualizacion de sistema de información.</t>
  </si>
  <si>
    <t>1801 - 2.3.2.02.02.009.00.00.00.1906044.24104.03244 - 246</t>
  </si>
  <si>
    <t>SAL-94-2026 Realizar acciones de afiliación de personas al régimen subsidiado a través de estrategias de identificación, jornadas municipales y actualizacion de sistema de información.</t>
  </si>
  <si>
    <t>1801 - 2.3.2.02.02.009.00.00.00.1906044.24104.03303 - 246</t>
  </si>
  <si>
    <t>SAL-95-2026 Realizar acciones de afiliación de personas al régimen subsidiado a través de estrategias de identificación, jornadas municipales y actualizacion de sistema de información.</t>
  </si>
  <si>
    <t>1801 - 2.3.2.02.02.009.00.00.00.1906044.24104.00096 - 249</t>
  </si>
  <si>
    <t>LOTERÍAS FORÁNEAS - SSF - REGIMEN SUBSIDIADO</t>
  </si>
  <si>
    <t>SAL-96-2026 Realizar acciones de afiliación de personas al régimen subsidiado a través de estrategias de identificación, jornadas municipales y actualizacion de sistema de información.</t>
  </si>
  <si>
    <t>1801 - 2.3.2.02.02.009.00.00.00.1906044.24104.00233 - 249</t>
  </si>
  <si>
    <t>SAL-97-2026 Realizar acciones de afiliación de personas al régimen subsidiado a través de estrategias de identificación, jornadas municipales y actualizacion de sistema de información.</t>
  </si>
  <si>
    <t>1801 - 2.3.2.02.02.009.00.00.00.1906044.24104.00284 - 249</t>
  </si>
  <si>
    <t>SAL-98-2026 Realizar acciones de afiliación de personas al régimen subsidiado a través de estrategias de identificación, jornadas municipales y actualizacion de sistema de información.</t>
  </si>
  <si>
    <t>1801 - 2.3.2.02.02.009.00.00.00.1906044.24104.00412 - 249</t>
  </si>
  <si>
    <t>SAL-99-2026 Realizar acciones de afiliación de personas al régimen subsidiado a través de estrategias de identificación, jornadas municipales y actualizacion de sistema de información.</t>
  </si>
  <si>
    <t>1801 - 2.3.2.02.02.009.00.00.00.1906044.24104.00470 - 249</t>
  </si>
  <si>
    <t>SAL-100-2026 Realizar acciones de afiliación de personas al régimen subsidiado a través de estrategias de identificación, jornadas municipales y actualizacion de sistema de información.</t>
  </si>
  <si>
    <t>1801 - 2.3.2.02.02.009.00.00.00.1906044.24104.02226 - 249</t>
  </si>
  <si>
    <t>SAL-101-2026 Realizar acciones de afiliación de personas al régimen subsidiado a través de estrategias de identificación, jornadas municipales y actualizacion de sistema de información.</t>
  </si>
  <si>
    <t>1801 - 2.3.2.02.02.009.00.00.00.1906044.24104.02372 - 249</t>
  </si>
  <si>
    <t>SAL-102-2026 Realizar acciones de afiliación de personas al régimen subsidiado a través de estrategias de identificación, jornadas municipales y actualizacion de sistema de información.</t>
  </si>
  <si>
    <t>1801 - 2.3.2.02.02.009.00.00.00.1906044.24104.02882 - 249</t>
  </si>
  <si>
    <t>SAL-103-2026 Realizar acciones de afiliación de personas al régimen subsidiado a través de estrategias de identificación, jornadas municipales y actualizacion de sistema de información.</t>
  </si>
  <si>
    <t>1801 - 2.3.2.02.02.009.00.00.00.1906044.24104.03013 - 249</t>
  </si>
  <si>
    <t>SAL-104-2026 Realizar acciones de afiliación de personas al régimen subsidiado a través de estrategias de identificación, jornadas municipales y actualizacion de sistema de información.</t>
  </si>
  <si>
    <t>1801 - 2.3.2.02.02.009.00.00.00.1906044.24104.03167  - 249</t>
  </si>
  <si>
    <t>SAL-105-2026 Realizar acciones de afiliación de personas al régimen subsidiado a través de estrategias de identificación, jornadas municipales y actualizacion de sistema de información.</t>
  </si>
  <si>
    <t>1801 - 2.3.2.02.02.009.00.00.00.1906044.24104.03244 - 249</t>
  </si>
  <si>
    <t>SAL-106-2026 Realizar acciones de afiliación de personas al régimen subsidiado a través de estrategias de identificación, jornadas municipales y actualizacion de sistema de información.</t>
  </si>
  <si>
    <t>1801 - 2.3.2.02.02.009.00.00.00.1906044.24104.03303 - 249</t>
  </si>
  <si>
    <t>SAL-107-2026 Realizar acciones de afiliación de personas al régimen subsidiado a través de estrategias de identificación, jornadas municipales y actualizacion de sistema de información.</t>
  </si>
  <si>
    <t>1801 - 2.3.2.02.02.009.00.00.00.1906044.24104.00096 - 252</t>
  </si>
  <si>
    <t>CIGARRILLO Y TABACO (LEY 1393 DE 2010)</t>
  </si>
  <si>
    <t>SAL-108-2026 Realizar acciones de afiliación de personas al régimen subsidiado a través de estrategias de identificación, jornadas municipales y actualizacion de sistema de información.</t>
  </si>
  <si>
    <t>1801 - 2.3.2.02.02.009.00.00.00.1906044.24104.00233 - 252</t>
  </si>
  <si>
    <t>SAL-109-2026 Realizar acciones de afiliación de personas al régimen subsidiado a través de estrategias de identificación, jornadas municipales y actualizacion de sistema de información.</t>
  </si>
  <si>
    <t>1801 - 2.3.2.02.02.009.00.00.00.1906044.24104.00284 - 252</t>
  </si>
  <si>
    <t>SAL-110-2026 Realizar acciones de afiliación de personas al régimen subsidiado a través de estrategias de identificación, jornadas municipales y actualizacion de sistema de información.</t>
  </si>
  <si>
    <t>1801 - 2.3.2.02.02.009.00.00.00.1906044.24104.00412 - 252</t>
  </si>
  <si>
    <t>SAL-111-2026 Realizar acciones de afiliación de personas al régimen subsidiado a través de estrategias de identificación, jornadas municipales y actualizacion de sistema de información.</t>
  </si>
  <si>
    <t>1801 - 2.3.2.02.02.009.00.00.00.1906044.24104.00470 - 252</t>
  </si>
  <si>
    <t>SAL-112-2026 Realizar acciones de afiliación de personas al régimen subsidiado a través de estrategias de identificación, jornadas municipales y actualizacion de sistema de información.</t>
  </si>
  <si>
    <t>1801 - 2.3.2.02.02.009.00.00.00.1906044.24104.02226 - 252</t>
  </si>
  <si>
    <t>SAL-113-2026 Realizar acciones de afiliación de personas al régimen subsidiado a través de estrategias de identificación, jornadas municipales y actualizacion de sistema de información.</t>
  </si>
  <si>
    <t>1801 - 2.3.2.02.02.009.00.00.00.1906044.24104.02372 - 252</t>
  </si>
  <si>
    <t>SAL-114-2026 Realizar acciones de afiliación de personas al régimen subsidiado a través de estrategias de identificación, jornadas municipales y actualizacion de sistema de información.</t>
  </si>
  <si>
    <t>1801 - 2.3.2.02.02.009.00.00.00.1906044.24104.02882 - 252</t>
  </si>
  <si>
    <t>SAL-115-2026 Realizar acciones de afiliación de personas al régimen subsidiado a través de estrategias de identificación, jornadas municipales y actualizacion de sistema de información.</t>
  </si>
  <si>
    <t>1801 - 2.3.2.02.02.009.00.00.00.1906044.24104.03013 - 252</t>
  </si>
  <si>
    <t>SAL-116-2026 Realizar acciones de afiliación de personas al régimen subsidiado a través de estrategias de identificación, jornadas municipales y actualizacion de sistema de información.</t>
  </si>
  <si>
    <t>1801 - 2.3.2.02.02.009.00.00.00.1906044.24104.03167  - 252</t>
  </si>
  <si>
    <t>SAL-117-2026 Realizar acciones de afiliación de personas al régimen subsidiado a través de estrategias de identificación, jornadas municipales y actualizacion de sistema de información.</t>
  </si>
  <si>
    <t>1801 - 2.3.2.02.02.009.00.00.00.1906044.24104.03244 - 252</t>
  </si>
  <si>
    <t>SAL-118-2026 Realizar acciones de afiliación de personas al régimen subsidiado a través de estrategias de identificación, jornadas municipales y actualizacion de sistema de información.</t>
  </si>
  <si>
    <t>1801 - 2.3.2.02.02.009.00.00.00.1906044.24104.03303 - 252</t>
  </si>
  <si>
    <t>SAL-119-2026 Realizar acciones de afiliación de personas al régimen subsidiado a través de estrategias de identificación, jornadas municipales y actualizacion de sistema de información.</t>
  </si>
  <si>
    <t>1801 - 2.3.2.02.02.009.00.00.00.1906044.24104.00096 - 253</t>
  </si>
  <si>
    <t>JUEGOS NOVEDOSOS - SUPER ASTRO 68% - REGIMEN SUBSI</t>
  </si>
  <si>
    <t>Servicio de apoyo a la prestación del servicio de transporte de pacientes</t>
  </si>
  <si>
    <t>Entidades de la red pública en salud apoyadas en la adquisición de ambulancias</t>
  </si>
  <si>
    <t>2024003630105</t>
  </si>
  <si>
    <t>Fortalecimiento de la infraestructura física, dotación biomédica y vehiculos para la prestación de servicios de Salud en las las ESES del Departamento</t>
  </si>
  <si>
    <t>SAL-120-2026 Apoyar con recursos financieros a las ESES del Departamento para la dotación de ambulancias</t>
  </si>
  <si>
    <t>0318 - 2.3.2.02.02.009.00.00.00.1906022.24105 - 20</t>
  </si>
  <si>
    <t>Servicio de apoyo para la dotación hospitalaria</t>
  </si>
  <si>
    <t>Elementos de dotación hospitalaria adquiridos</t>
  </si>
  <si>
    <t xml:space="preserve">SAL-121-2026 Apoyar con recursos financieros a las ESE´S del Departamento del quindio para dotación hospitalaria adquiridos y funcionamiento e infraestructura </t>
  </si>
  <si>
    <t>0318 - 2.3.2.02.02.009.00.00.00.1906026.24105 - 20</t>
  </si>
  <si>
    <t>2024003630107</t>
  </si>
  <si>
    <t>Prevencion y gestion de riesgo de los eventos en salud publica relacionados con la salud sexual y reproductiva en el Departamento del Quindio</t>
  </si>
  <si>
    <t xml:space="preserve">SAL-122-2026 Implementar la ruta materno perinatal  (IVE) en 11 municipios de competencia del departamento del Quindio en el marco de la resolucion 3280 del 2018. </t>
  </si>
  <si>
    <t>1803 - 2.3.2.02.02.009.00.00.00.1905021.24107 - 61</t>
  </si>
  <si>
    <t xml:space="preserve">Salud pública </t>
  </si>
  <si>
    <t xml:space="preserve">SAL-123-2026 Implementar la ruta materno perinatal  (IVE) en 11  municipios de competencia del departamento del Quindio en el marco de la resolucion 3280 del 2018. </t>
  </si>
  <si>
    <t>0318 - 2.3.2.02.02.009.00.00.00.1905021.24107 - 20</t>
  </si>
  <si>
    <t>SAL-124-2026 Realizar acciones encaminadas al fortalecimiento, seguimiento y evaluacion del plan de aceleración para la reducción de la mortalidad materna.</t>
  </si>
  <si>
    <t>Personas atendidas con campañas de gestión del riesgo en temas de salud sexual y reproductiva</t>
  </si>
  <si>
    <t xml:space="preserve">SAL-125-2026 Realizar estrategias para generar capacidades en niñas, niños, adolescentes y jovenes en las instituciones educativas para que cuenten con una educacion sexual basada en el ejercicio de derechos humanos, sexuales y reproductivos, desde un enfoque de genero y diferencial  </t>
  </si>
  <si>
    <t>Estrategias de gestión del riesgo en temas de salud sexual y reproductiva implementadas</t>
  </si>
  <si>
    <t>SAL-126-2026 Realizar acciones encaminadas al fortalecimiento  y seguimiento  de la atención integral en la salud sexual y reproductiva según la normatividad vigente.</t>
  </si>
  <si>
    <t>Servicio de promoción de la participación social en salud</t>
  </si>
  <si>
    <t>Estrategias de promoción de la participación social en salud implementadas</t>
  </si>
  <si>
    <t>SAL-127-2026 Realizar acciones encaminadas al fortalecimiento, seguimiento y evaluacion de la aplicación del protocolo de atencion intengral de salud para victimas de violencia sexual, y kit medico legal de violencia sexual.</t>
  </si>
  <si>
    <t>1803 - 2.3.2.02.02.009.00.00.00.1905049.24107 - 61</t>
  </si>
  <si>
    <t>Estrategias de promoción de la salud en temas de salud sexual y reproductiva implementadas</t>
  </si>
  <si>
    <t>SAL-128-2026 Realizar estrategias para fortalecer las capacidades institucionales y comunitarias para la promoción de la salud, prevención de la enfermedad, gestión integral del riesgo, atención integral e integrada y gestión en salud pública frente a las ITS, el VIH, la coinfección TB/VIH y las hepatitis B y C</t>
  </si>
  <si>
    <t>1803 - 2.3.2.02.02.009.00.00.00.1905054.24107 - 61</t>
  </si>
  <si>
    <t>1905015</t>
  </si>
  <si>
    <t>190501503</t>
  </si>
  <si>
    <t>Documentos de planeación en epidemiología y demografía  elaborados</t>
  </si>
  <si>
    <t xml:space="preserve"> 2024003630108 </t>
  </si>
  <si>
    <t>Fortalecimiento del capital estructural del Sistema de Vigilancia en Salud Pública del Departamento del Quindío</t>
  </si>
  <si>
    <t>SAL-129-2026 Desarrollar las acciones inherentes a la elaboración de documentos, reportes e informes en planeación en epidemiología y demografia de la direccion territorial y de eventos de interés en salud pública</t>
  </si>
  <si>
    <t>1803 - 2.3.2.02.02.009.00.00.00.1905015.24108 - 61</t>
  </si>
  <si>
    <t>SAL-130-2026 Desarrollar las acciones inherentes a la elaboración de documentos, reportes e informes en planeación en epidemiología y demografia de la direccion territorial y de eventos de interés en salud pública</t>
  </si>
  <si>
    <t>0318 - 2.3.2.02.02.009.00.00.00.1905015.24108  - 20</t>
  </si>
  <si>
    <t>1905049</t>
  </si>
  <si>
    <t>190504902</t>
  </si>
  <si>
    <t>Mecanismos y espacios de participación social en salud conformados</t>
  </si>
  <si>
    <t>SAL-131-2026 Operativizar  los Comités de Vigilancia epidemiológica Comunitaria  Covecom en el departamento.</t>
  </si>
  <si>
    <t>1803 - 2.3.2.02.02.009.00.00.00.1905049.24108 - 61</t>
  </si>
  <si>
    <t>1905050</t>
  </si>
  <si>
    <t xml:space="preserve">190505005 </t>
  </si>
  <si>
    <t>Entidades territoriales asistidas técnicamente en el plan territorial del salud</t>
  </si>
  <si>
    <t>SAL-132-2026 Desarrollar asistencia técnica a las Entidades Territoriales, en el desarrollo de las acciones de vigilancia en salud publica de los eventos  de notificacion obligatoria</t>
  </si>
  <si>
    <t>1803 - 2.3.2.02.02.009.00.00.00.1905050.24108  - 61</t>
  </si>
  <si>
    <t>1905052</t>
  </si>
  <si>
    <t>190505200</t>
  </si>
  <si>
    <t>SAL-133-2026 Desarrollar acciones de fortalecimiento del sistema de información de la vigilancia en salud publica</t>
  </si>
  <si>
    <t>1803 - 2.3.2.02.02.009.00.00.00.1905052.24108 - 61</t>
  </si>
  <si>
    <t>SAL-134-2026 Desarrollar acciones de fortalecimiento del sistema de información de la vigilancia en salud publica</t>
  </si>
  <si>
    <t>0318 - 2.3.2.02.02.009.00.00.00.1905052.24108  - 20</t>
  </si>
  <si>
    <t xml:space="preserve">Inspección, vigilancia y control </t>
  </si>
  <si>
    <t>Servicio de certificaciones en buenas practicas</t>
  </si>
  <si>
    <t>Certificaciones expedidas</t>
  </si>
  <si>
    <t>2024003630110</t>
  </si>
  <si>
    <t xml:space="preserve">Apoyo operativo a la inversión social en salud por y para la gente en el Departamento del Quindío </t>
  </si>
  <si>
    <t>SAL-135-2026 Apoyo operativo en la realización del concurso de buenas practicas y experiencias exitosas en Particiapacion Social en Salud.</t>
  </si>
  <si>
    <t>0318 - 2.3.2.02.02.009.00.00.00.1903010.24110 - 20</t>
  </si>
  <si>
    <t>Servicio del ejercicio del procedimiento administrativo sancionatorio</t>
  </si>
  <si>
    <t xml:space="preserve">Procesos con aplicación del procedimiento administrativo sancionatorio tramitados </t>
  </si>
  <si>
    <t>SAL-136-2026 Apoyo operativo al procedimiento administrativo sancionatorio por no cumplimiento de compromisos pactados en la autoevaluación obligatoria de la prestación del servicio de salud y al seguimiento financiero de la unidad operativa.</t>
  </si>
  <si>
    <t>0318 - 2.3.2.02.02.009.00.00.00.1903019.24110 - 20</t>
  </si>
  <si>
    <t>Servicio de implementación de estrategias para el fortalecimiento del control social en salud</t>
  </si>
  <si>
    <t>Estrategias para el fortalecimiento del control social en salud implementadas</t>
  </si>
  <si>
    <t>SAL-137-2026 Apoyo operativo en la implementación de estrategias para el fortalecimiento del control social en salud y al seguimiento financiero de la unidad operativa.</t>
  </si>
  <si>
    <t>0318 - 2.3.2.02.02.009.00.00.00.1903025.24110 - 20</t>
  </si>
  <si>
    <t>Servicio de gestión de peticiones, quejas, reclamos y denuncias</t>
  </si>
  <si>
    <t>Preguntas Quejas Reclamos y Denuncias Gestionadas</t>
  </si>
  <si>
    <t xml:space="preserve">SAL-138-2026 Fortalecer la gestión de peticiones, quejas, reclamos y denuncias del servicio de atención a la comunidad de la Secretaria de Salud </t>
  </si>
  <si>
    <t>0318 - 2.3.2.02.02.009.00.00.00.1903028.24110 - 20</t>
  </si>
  <si>
    <t>Servicios de comunicación y divulgación en inspección, vigilancia y control</t>
  </si>
  <si>
    <t>Productos de comunicación difundidos</t>
  </si>
  <si>
    <t>SAL-139-2026 Realizar seguimiento a los diferentes instrumentos de planificación y financieros de la Secretaria de Salud Departamental</t>
  </si>
  <si>
    <t>0318 - 2.3.2.02.02.009.00.00.00.1903047.24110 - 20</t>
  </si>
  <si>
    <t>Eventos de rendición de cuentas realizados</t>
  </si>
  <si>
    <t>SAL-140-2026 Garantizar una adecuada difusion y divulgación de la informacion generada desde la Secretaria de Salud Departamental ante la comunidad en los eventos de rendición de cuentas desarrollados.</t>
  </si>
  <si>
    <t>Cuartos fríos adecuados</t>
  </si>
  <si>
    <t>2024003630111</t>
  </si>
  <si>
    <t>Fortalecimiento de la atención Integral en Salud de niños y niñas de la primera infancia e infancia con enfoque de curso de vida en el Departamento del Quindío</t>
  </si>
  <si>
    <t>SAL-141-2026 Adecuar los cuartos fríos del departamento del Quindío, con el propósito de garantizar la correcta conservación de inmunobiológicos e insumos para el desarrollo del programa PAI en tres áreas de trabajo (Recepción, almacenamiento y distribución).</t>
  </si>
  <si>
    <t>1803 - 2.3.2.02.02.009.00.00.00.1905012.24111 - 61</t>
  </si>
  <si>
    <t>SAL-142-2026 Adecuar los cuartos fríos del departamento del Quindío, con el propósito de garantizar la correcta conservación de inmunobiológicos e insumos para el desarrollo del programa PAI en tres áreas de trabajo (Recepción, almacenamiento y distribución).</t>
  </si>
  <si>
    <t>0318 - 2.3.2.02.02.009.00.00.00.1905012.24111 - 20</t>
  </si>
  <si>
    <t>Cuartos fríos con mantenimiento</t>
  </si>
  <si>
    <t>SAL-143-2026 Realizar a los cuartos fríos del departamento procesos de  mantenimiento preventivo y correctivo a los equipos de refrigeración y áreas destinadas  asegurar el almacenamiento y conservación de inmunobiológicos, con el propósito de lograr el acopio, conservación y  la distribución de las vacunas del Programa Ampliado de Inmunizaciones con estándares óptimos de calidad, dos veces al año.</t>
  </si>
  <si>
    <t>1803 - 2.3.2.02.02.009.00.00.00.1905013.24111 - 61</t>
  </si>
  <si>
    <t>1905026 
Servicio de gestión del riesgo para enfermedades emergentes, reemergentes y desatendidas</t>
  </si>
  <si>
    <t xml:space="preserve">190502600
</t>
  </si>
  <si>
    <t xml:space="preserve">Campañas de gestión del riesgo para enfermedades emergentes, reemergentes y desatendidas implementadas
</t>
  </si>
  <si>
    <t>SAL-144-2026 Implementar campañas de gestión del riesgo y acciones relacionadas con la prevención, control y eliminación de las enfermedades, emergentes  y desatendidas, y la estrategia IAMI con el propósito de disminuir los indices de morbilidad en el departamento del Quindío.</t>
  </si>
  <si>
    <t>1803 - 2.3.2.02.02.009.00.00.00.1905026.24111 - 61</t>
  </si>
  <si>
    <t>Servicio de gestión del riesgo para enfermedades inmunoprevenibles</t>
  </si>
  <si>
    <t>Campañas de gestión del riesgo para enfermedades inmunoprevenibles  implementadas</t>
  </si>
  <si>
    <t>SAL-145-2026 Implementar campañas de gestión del riesgo  para enfermedades inmunoprevenibles en el departamento del Quindío,  con la acción intersectorial contempladas en la estrategia AIEPI</t>
  </si>
  <si>
    <t>1803 - 2.3.2.02.02.009.00.00.00.1905027.24111 - 61</t>
  </si>
  <si>
    <t>SAL-146-2026 Implementar campañas de gestión del riesgo trimestrales para enfermedades inmunoprevenibles en el departamento del Quindío,  con la acción intersectorial contempladas en el esquema del PAI adoptado para Colombia,  con el propósito de prever, controlar, mitigar y minimizar de los riesgos que propician la aparición de las enfermedades prevenibles por vacunas y sus  consecuentes efectos negativos en la población.</t>
  </si>
  <si>
    <t>0318 - 2.3.2.02.02.009.00.00.00.1905027.24111 - 20</t>
  </si>
  <si>
    <t>Servicio de suministro de insumos para el manejo de eventos de interés en salud pública</t>
  </si>
  <si>
    <t>Entidades territoriales con servicio de suministro de insumos para el manejo de eventos de interés en salud pública</t>
  </si>
  <si>
    <t>SAL-147-2026 Suministrar a las Entidades Territoriales insumos para el manejo de eventos de interés en salud pública, con el fin de garantizar el manejo de enfermedades prevenibles por vacunación para el desarrollo del programa Ampliado de Inmunizaciones PAI en los municipios quindianos.</t>
  </si>
  <si>
    <t>1803 - 2.3.2.02.02.009.00.00.00.1905029.24111 - 61</t>
  </si>
  <si>
    <t>Estrategias de promoción de la salud para enfermedades inmunoprevenibles implementadas</t>
  </si>
  <si>
    <t xml:space="preserve">SAL-148-2026 Implementar  estrategias de promoción de la salud en las poblaciones vulnerables </t>
  </si>
  <si>
    <t>1803 - 2.3.2.02.02.009.00.00.00.1905054.24111 - 61</t>
  </si>
  <si>
    <t>Servicio de inspección, vigilancia y control</t>
  </si>
  <si>
    <t>Visitas realizadas</t>
  </si>
  <si>
    <t>2024003630112</t>
  </si>
  <si>
    <t>Fortalecimiento de la autoridad sanitaria en los procesos de inspección vigilancia y control a prestadores de servicios de salud en el Departamento del Quindio</t>
  </si>
  <si>
    <t>SAL-149-2026 Realización de visitas de inspección,  vigilancia y control de los estándares de calidad en la prestación de servicios del Quindío a todos los actores del sistema</t>
  </si>
  <si>
    <t>0318 - 2.3.2.02.02.009.00.00.00.1903011.24112 - 20</t>
  </si>
  <si>
    <t xml:space="preserve">Informes de los resultados obtenidos en la vigilancia sanitaria </t>
  </si>
  <si>
    <t xml:space="preserve">SAL-150-2026 Elaboración de informes mensuales (1 AL MES) de los resultados obtenidos en las visitas de inspección,  vigilancia y control en la prestación de servicios de las entidades del sector salud </t>
  </si>
  <si>
    <t>Servicio de auditoría y visitas inspectivas</t>
  </si>
  <si>
    <t>auditorías y visitas inspectivas realizadas</t>
  </si>
  <si>
    <t>SAL-151-2026 Realización de visitas inspectivas de acuerdo a la normatividad vigente referente a la verificación de los estándares de calidad, y de suficiencia patrimonial a los establecimientos prestadores de servicios de salud del departamento del Quindío</t>
  </si>
  <si>
    <t>0318 - 2.3.2.02.02.009.00.00.00.1903016.24112 - 20</t>
  </si>
  <si>
    <t xml:space="preserve">190501400  
</t>
  </si>
  <si>
    <t xml:space="preserve">
Documentos de lineamientos técnicos elaborados</t>
  </si>
  <si>
    <t>2024003630115</t>
  </si>
  <si>
    <t>Fortalecimiento de los procesos gestión de la salud pública para el logro de resultados en salud asociados a las enfermedades trasmitidas por micobacterias y la discapacidad en el Departamento del Quindio.</t>
  </si>
  <si>
    <t xml:space="preserve">SAL-152-2026 Fortalecer los sistemas de información y la gestión programática para el manejo y control de la cadena de contagio por Tuberculosis y Lepra </t>
  </si>
  <si>
    <t>1803 - 2.3.2.02.02.009.00.00.00.1905014.24115 - 61</t>
  </si>
  <si>
    <t>Servicio de gestión del riesgo para enfermedades emergentes, reemergentes y desatendidas</t>
  </si>
  <si>
    <t>Campañas de gestión del riesgo para enfermedades emergentes, reemergentes y desatendidas implementadas.</t>
  </si>
  <si>
    <t>SAL-153-2026 Brindar asistencia técnica, apoyo y seguimiento  a EAPB, IPS y Alcaldias Municipales en la operativización del Programa Nacional de Prevención y Control de la TB</t>
  </si>
  <si>
    <t>1803 - 2.3.2.02.02.009.00.00.00.1905026.24115 - 113</t>
  </si>
  <si>
    <t>PROGRAMA CONTROL TUBERCULOSIS QUINDIO</t>
  </si>
  <si>
    <t xml:space="preserve">SAL-154-2026 Realizar actividades de promoción de la salud y gestión del riesgo para la prevención y control de la  tuberculosis y lepra en los 12 municipios del departamento, incluye intervenciones de base comunitaria y  poblacionales </t>
  </si>
  <si>
    <t>SAL-155-2026 Operativizar el Comité Evaluador  Regional de Casos Especiales de Tuberculosis (CERCET) y realizar seguimiento al cumplimiento a guías y protocolos  en tuberculosis y lepra</t>
  </si>
  <si>
    <t xml:space="preserve">SAL-156-2026 Brindar asistencia técnica, apoyo y seguimiento  a EAPB, IPS y Alcaldias Municipales en la operativización  del Plan Estratégico Nacional de Prevención y Control de la Enfermedad de Hansen </t>
  </si>
  <si>
    <t>1803 - 2.3.2.02.02.009.00.00.00.1905026.24115 - 114</t>
  </si>
  <si>
    <t>PROGRAMA CONTROL LEPRA QUINDIO</t>
  </si>
  <si>
    <t>Servicio de certificación de discapacidad para las personas con discapacidad</t>
  </si>
  <si>
    <t>Valoraciones multidisciplinarias realizadas</t>
  </si>
  <si>
    <t>SAL-157-2026 Realizar Valoraciones clínicas multidisciplinarias para certificar la discapacidad en el Departamento del Quindío</t>
  </si>
  <si>
    <t>1803 - 2.3.2.02.02.009.00.00.00.1905040.24115 - 180</t>
  </si>
  <si>
    <t>MINISTERIO DE SALUD RESOLUCION DISCAPACIDAD</t>
  </si>
  <si>
    <t>SAL-158-2026 Asistir técnicamente a los actores del SGSSS que atienden a las Personas con Discapacidad en el Registro de Localización y Caracterización de la Población con Discapacidad y el proceso de Certificación en Discapacidad, garantizando el respectivo seguimiento de acuerdo a las competencias</t>
  </si>
  <si>
    <t>0318 - 2.3.2.02.02.009.00.00.00.1905040.24115 - 20</t>
  </si>
  <si>
    <t xml:space="preserve">1905050
</t>
  </si>
  <si>
    <t>Asistencias técnicas realizadas</t>
  </si>
  <si>
    <t>SAL-159-2026 Desarrollo de asistencias técnicas en las  Entidades Territoriales, para fortalecer capacidades, acciones y apoyo en la operativización del Programa Nacional de Prevención y Control de la TB y Lepra dirigidas a las poblaciones vulnerables del departamento</t>
  </si>
  <si>
    <t>1803 - 2.3.2.02.02.009.00.00.00.1905050
.24115 - 113</t>
  </si>
  <si>
    <t xml:space="preserve"> Inspección, vigilancia y control </t>
  </si>
  <si>
    <t>1903015</t>
  </si>
  <si>
    <t>Servicio de adopción y seguimiento de acciones y medidas especiales</t>
  </si>
  <si>
    <t>190301500</t>
  </si>
  <si>
    <t>Acciones y medidas especiales ejecutadas</t>
  </si>
  <si>
    <t xml:space="preserve"> 2024003630116</t>
  </si>
  <si>
    <t xml:space="preserve"> Implementación de la salud Inclusiva por y para todos en el Quindío</t>
  </si>
  <si>
    <t>SAL-160-2026 Generar apoyo en la implementación de las políticas públicas departamentales de discapacidad y poblaciones vulnerables desde las actividades y estrategias en el sector salud garantizando su respectivo seguimiento</t>
  </si>
  <si>
    <t>1803 - 2.3.2.02.02.009.00.00.00.1903015.24116 - 61</t>
  </si>
  <si>
    <t>SAL-161-2026 Brindar asistencia técnica y capacitación en certificación de discapacidad y registro de localización y caracterización de personas con discapacidad a las IPS certificadoras  y seguimiento a la política pública de discapacidad.</t>
  </si>
  <si>
    <t>1903001</t>
  </si>
  <si>
    <t>190300100</t>
  </si>
  <si>
    <t>Documentos técnicos publicados y/o socializados</t>
  </si>
  <si>
    <t>SAL-162-2026 Elaboración y difusión de documentos técnicos apoyados en el marco del Plan Decenal de Salud publica 2022-2031-Resolución 1035 de 2022- en los capítulos diferenciales e inclusivas para la  Implementación de  estrategias de información, educación y comunicación  de garantía de derechos y deberes en salud con acciones interculturales para las poblaciones vulnerables y con Enfoque Diferencial.</t>
  </si>
  <si>
    <t>1803 - 2.3.2.02.02.009.00.00.00.1903001.24116 - 61</t>
  </si>
  <si>
    <t>Laboratorios de salud pública con servicio de suministro de insumos</t>
  </si>
  <si>
    <t>2024003630118</t>
  </si>
  <si>
    <t>Fortalecimiento de las actividades de vigilancia en Salud Pública en el departamento mediante las acciones misionales del laboratorio, con el fin de poder tomar decisiones para la Salud Pública Quindio</t>
  </si>
  <si>
    <t>SAL-163-2026 Comprar todos los insumos, reactivos y equipos en el laboratorio para prevencion de enfermedades de interes en salud publica en el departamento de Quindío.</t>
  </si>
  <si>
    <t>1803 - 2.3.2.02.01.003.00.00.00.1905029.24118 - 61</t>
  </si>
  <si>
    <t>Planes de salud pública elaborados</t>
  </si>
  <si>
    <t>2024003630120</t>
  </si>
  <si>
    <t>Prevención de la salud mental y de los factores de riesgo asociados a la salud mental y el consumo de sustancias psicoactivas del  Quindio</t>
  </si>
  <si>
    <t>SAL-164-2026 Operativizar el Consejo Territorial de Salud Mental, definir plan de acción y seguimiento (PLAN DE ACCCION )</t>
  </si>
  <si>
    <t>1803 - 2.3.2.02.02.009.00.00.00.1905015.24120 - 61</t>
  </si>
  <si>
    <t>Servicio de gestión del riesgo en temas de consumo de sustancias psicoactivas</t>
  </si>
  <si>
    <t>Campañas de gestión del riesgo en temas de consumo de sustancias psicoactivas implementadas</t>
  </si>
  <si>
    <t>SAL-165-2026 Asesoría y asistencia técnica para la formulación e implementación de un programa de prevención del consumo de sustancias psicoactivas y cigarriloos electronicos  a través de una campaña anual  en los municipios del Departamento del Quindio.</t>
  </si>
  <si>
    <t>1803 - 2.3.2.02.02.009.00.00.00.1905020.24120 - 61</t>
  </si>
  <si>
    <t>SAL-166-2026 Operativizar el comité departamental de drogas con énfasis en reducción del consumo de sustancias psicoactivas y el Consejo Seccional de Estupefacientes</t>
  </si>
  <si>
    <t xml:space="preserve">1905020
</t>
  </si>
  <si>
    <t>Estrategias de gestión del riesgo en temas de consumo de sustancias psicoactivas implementadas</t>
  </si>
  <si>
    <t>SAL-167-2026 Asesoría y asistencia Técnica para la adopcion e implementación de la politica publica nacional de drogas, politica integral para la prevencion reduccion de riesgos y daños y atencion de consumo de sustancias psicoactivas  y plan territorial de drogas y la política de salud mental en los municipios de competencia departamental con el fin de desarrollar acciones para la prevención del consumo de sustancias psicoactivas y el abordaje integral e integrado de la salud mental</t>
  </si>
  <si>
    <t xml:space="preserve">SAL-168-2026 Realizar acciones de vigilancia a las EAPB y los municipios  frente a los servicios de atención para usuarios consumidores de Sustancias Psicoactivas en los municipios de competencia departamental y apoyar el plan de accion del sistema de responsabilidad penal para adolescentes </t>
  </si>
  <si>
    <t>SAL-169-2026 Asesoría y asistencia técnica a los municipios e instituciones educativas para la formulación e  implementación de acciones como la educación emocional y primeros auxilios emocionales,  acciones frente a la prevención y gestión del riesgo del consumo de sustancias psicoactivas y prevencion del suicidio en el entorno educativo y comunitario en los municipios de competencia departamental</t>
  </si>
  <si>
    <t>1803 - 2.3.2.02.02.009.00.00.00.1905022.24120 - 61</t>
  </si>
  <si>
    <t>SAL-170-2026 Asesoría y asistencia técnica a los municipios e instituciones educativas para la formulación e  implementación de acciones como la educación emocional y primeros auxilios emocionales,  acciones frente a la prevención y gestión del riesgo del consumo de sustancias psicoactivas y prevencion del suicidio en el entorno educativo y comunitario en los municipios de competencia departamental</t>
  </si>
  <si>
    <t>0318 - 2.3.2.02.02.009.00.00.00.1905022.24120 - 20</t>
  </si>
  <si>
    <t>Estrategias de gestión del riesgo en temas de trastornos mentales implementadas</t>
  </si>
  <si>
    <t>SAL-171-2026 Asesoría y asistencia tecnica en la implementacion y segumiento de RIAS a las EAPB, municipios y  a las entidades que realizan gestión del riesgo en temas de trastornos mentales, violencias,prevención y gestión en consumo de sustancias psicoactivas en los municipios de competencia departamental.</t>
  </si>
  <si>
    <t>SAL-172-2026 Seguimiento a la gestión del riesgo en los casos notificados por el SIVIGILA a las entidades con competencia en la dimensión de convivencia social y salud mental mediante el desarrollo de assitencia tecnicas en los once municipios de competencia departamental.</t>
  </si>
  <si>
    <t>1803 - 2.3.2.02.02.009.00.00.00.1905050.24120 - 61</t>
  </si>
  <si>
    <t xml:space="preserve">SAL-173-2026 Realizar acciones de acompañamiento, asesoría y seguimiento técnico a los once municipios de competencia departamental frente a la promoción de la salud mental y la gestión del riesgo de los trastornos mentales </t>
  </si>
  <si>
    <t>Servicio de registro sanitario</t>
  </si>
  <si>
    <t>Registros sanitarios expedidos</t>
  </si>
  <si>
    <t xml:space="preserve"> 2024003630121</t>
  </si>
  <si>
    <t>Fortalecimiento del modelo de inspección, vigilancia y control en Salud Ambiental en el departamento del Quindío</t>
  </si>
  <si>
    <t xml:space="preserve">SAL-174-2026 Realizar seguimiento y asistencia técnica a sujetos y objetos de interés del programa de agua y saneamiento básico. </t>
  </si>
  <si>
    <t>1803 - 2.3.2.02.02.009.00.00.00.1903009.24121 - 61</t>
  </si>
  <si>
    <t>Documentos técnicos de estándares sanitarios publicados.</t>
  </si>
  <si>
    <t>SAL-175-2026 Diseñar e implementar el Plan de Acción de Salud Ambiental de Adaptación y Mitigación al Cambio Climático integrando los componente de Salud Ambiental.</t>
  </si>
  <si>
    <t>1803 - 2.3.2.02.02.009.00.00.00.1903001.24121 - 61</t>
  </si>
  <si>
    <t>Servicio de asistencia técnica en inspección, vigilancia y control.</t>
  </si>
  <si>
    <t>Asistencias técnica en Inspección, Vigilancia y Control realizadas</t>
  </si>
  <si>
    <t>SAL-176-2026 Apoyo al diagnostico de las  condiciones   higiénico sanitarias, locativas y de  manejo y uso  de los productos químicos peligrosos  en los establecimientos de alto riesgo ubicados en los 11  municipios  de competencia departamental.</t>
  </si>
  <si>
    <t>1803 - 2.3.2.02.02.009.00.00.00.1903023.24121 - 61</t>
  </si>
  <si>
    <t>Servicio de evaluación, aprobación y seguimiento de planes de gestión integral del riesgo.</t>
  </si>
  <si>
    <t xml:space="preserve">190302700 
</t>
  </si>
  <si>
    <t>Informes de evaluación, aprobación y seguimiento de Planes de Gestión Integral de Riesgo realizados</t>
  </si>
  <si>
    <t xml:space="preserve">SAL-177-2026 Apoyo al diagnostico a establecimiento generadores de residuos peligrosos con riesgo biológico.  </t>
  </si>
  <si>
    <t>1803 - 2.3.2.02.02.009.00.00.00.1903027.24121 - 61</t>
  </si>
  <si>
    <t>Servicio de vigilancia de calidad del agua para consumo humano, recolección, transporte y disposición final de residuos sólidos; manejo y disposición final de radiaciones ionizantes, excretas, residuos líquidos y aguas servidas y calidad del aire.</t>
  </si>
  <si>
    <t>Entidades territoriales atendidas</t>
  </si>
  <si>
    <t xml:space="preserve">SAL-178-2026 Realizar acciones que conduzcan a la actualización de los mapas de riesgo de calidad del agua de los sistemas de abastecimiento de agua para consumo humano. </t>
  </si>
  <si>
    <t>1803 - 2.3.2.02.02.009.00.00.00.1903040.24121 - 61</t>
  </si>
  <si>
    <t>Servicio de vigilancia y control sanitario de los factores de riesgo para la salud, en los establecimientos y espacios que pueden generar riesgos para la población.</t>
  </si>
  <si>
    <t>Establecimientos abiertos al público vigilados y controlados.</t>
  </si>
  <si>
    <t>SAL-179-2026 Apoyo a la gestion y seguimiento a establecimientos farmaceuticos y afines y Adquisición de medicamentos e insumos del fondo rotatorio de estupefacientes.</t>
  </si>
  <si>
    <t>1803 - 2.3.2.02.02.009.00.00.00.1903042.24121 - 63</t>
  </si>
  <si>
    <t xml:space="preserve">FONDO DE ESTUPEFACIENTES </t>
  </si>
  <si>
    <t>Servicio de información para la gestión de la inspección, vigilancia y control sanitario.</t>
  </si>
  <si>
    <t>Usuarios del sistema</t>
  </si>
  <si>
    <t>SAL-180-2026 Apoyo a la gestion y seguimiento a establecimientos farmaceuticos y afines</t>
  </si>
  <si>
    <t>0318 - 2.3.2.02.02.009.00.00.00.1903045.24121 - 20</t>
  </si>
  <si>
    <t xml:space="preserve">SAL-181-2026 Fortalecer con equipos  y sistemas tecnologicos el  programa de agua y saneamiento básico para mejorar la  Inspección, Vigilancia y Control de factores de riesgo de la salud pública asociados al ambiente. </t>
  </si>
  <si>
    <t>SAL-182-2026 Apoyar las acciones del programa de vigilancia epidemiológica de intoxicaciones por organofosforados y otros plaguicidas, mediante la aplicación y evaluación de exámenes de colinesterasa en población expuesta, la identificación de factores de riesgo, el seguimiento y análisis de casos, y el fortalecimiento de capacidades de la población</t>
  </si>
  <si>
    <t>1803 - 2.3.2.02.02.009.00.00.00.1903045.24121 - 61</t>
  </si>
  <si>
    <t>Servicio de gestión del riesgo para abordar situaciones de salud relacionadas con condiciones ambientales</t>
  </si>
  <si>
    <t xml:space="preserve">190502402 
</t>
  </si>
  <si>
    <t>Estrategias de gestión del riesgo para abordar situaciones de salud relacionadas con condiciones ambientales implementadas</t>
  </si>
  <si>
    <t>2024003630122</t>
  </si>
  <si>
    <t>Fortalecimiento de la gestión del riesgo sanitario y ambiental para la vigilancia de salud pública en el Departamento del Quindío</t>
  </si>
  <si>
    <t>SAL-183-2026 Desarrollo de estrategias de gestión del riesgo para abordar situaciones de salud relacionadas con condiciones ambientales en el marco del plan de acción de Gestión Integral de las Enfermedades de Transmisión Vectorial ETV y zoonosis</t>
  </si>
  <si>
    <t>1803 - 2.3.2.02.02.009.00.00.00.1905024.24122 - 61</t>
  </si>
  <si>
    <t>SAL-184-2026 Desarrollo de estrategias de gestión del riesgo para abordar situaciones de salud relacionadas con condiciones ambientales en el marco del plan de acción de Gestión Integral de las Enfermedades de Transmisión Vectorial ETV y zoonosis</t>
  </si>
  <si>
    <t>0318 - 2.3.2.02.02.009.00.00.00.1905024.24122 - 20</t>
  </si>
  <si>
    <t>Campañas de gestión del riesgo para enfermedades emergentes, reemergentes y desatendidas implementadas</t>
  </si>
  <si>
    <t>SAL-185-2026 Desarrollo de estrategias de gestión territorial para la atención de eventos relacionados con vectores</t>
  </si>
  <si>
    <t>1803 - 2.3.2.02.02.009.00.00.00.1905026.24122 - 61</t>
  </si>
  <si>
    <t>SAL-186-2026 Apoyo integral y gastos de funcionarios para el desarrollo de estrategias de gestión integral para el control vectorial en los municipios endémicos.</t>
  </si>
  <si>
    <t>0318 - 2.3.2.02.02.009.00.00.00.1905026.24122 - 20</t>
  </si>
  <si>
    <t>SAL-187-2026 Viáticos y gastos de funcionarios de los encargados de realizar monitoreo y evaluación de las acciones de adherencia a guías y protocolos en el desarrollo de estrategias de gestión integral para el control vectorial en los municipios endémicos.</t>
  </si>
  <si>
    <t>1803 - 2.3.2.02.02.009.00.00.00.1905026.24122 - 111</t>
  </si>
  <si>
    <t>PROGRAMA PREV Y CONTROL ENFERMEDADES POR VECTORES</t>
  </si>
  <si>
    <t>Servicio de gestión del riesgo para abordar situaciones endemo-epidémicas</t>
  </si>
  <si>
    <t>Campañas de gestión del riesgo para abordar situaciones endemo-epidémicas implementadas</t>
  </si>
  <si>
    <t>SAL-188-2026 Implementación de campañas de gestión del riesgo en las poblaciones vulnerables para abordar situaciones endemo-epidémicas en el marco de la gestión del riesgo sanitario y ambiental</t>
  </si>
  <si>
    <t>1803 - 2.3.2.02.02.009.00.00.00.1905043.24122 - 61</t>
  </si>
  <si>
    <t>Estrategias de promoción de la salud en condiciones ambientales implementadas</t>
  </si>
  <si>
    <t>SAL-189-2026 Estrategias de promoción de la salud en poblaciones vulnerables bajo condiciones ambientales y entornos saludables que permitan realizar acciones direccionadas a contribuir al mejoramiento de las condiciones de salud de las poblaciones en su entorno y los estilos de vida saludable.</t>
  </si>
  <si>
    <t>1803 - 2.3.2.02.02.009.00.00.00.1905054.24122 - 61</t>
  </si>
  <si>
    <t>Estrategias de promoción de la salud para abordar situaciones relacionadas con hábitat saludable implementadas</t>
  </si>
  <si>
    <t>SAL-190-2026 Estrategias de Entornos Saludables que permitan realizar acciones de promoción, prevención y protección direccionadas a contribuir al mejoramiento de las condiciones de salud de las poblaciones vulnerables en su entorno promoviendo estilos de vida saludables.</t>
  </si>
  <si>
    <t>Estrategias de promoción de la salud para enfermedades emergentes, reemergentes y desatendidas implementadas</t>
  </si>
  <si>
    <t>SAL-191-2026 Estrategia para impulsar el componente de promoción de la salud del plan de acción de Gestión Integral de ETV y zoonosis para las poblaciones vulnerables</t>
  </si>
  <si>
    <t xml:space="preserve">1903012 
</t>
  </si>
  <si>
    <t>Servicio de análisis de laboratorio</t>
  </si>
  <si>
    <t>Análisis realizados</t>
  </si>
  <si>
    <t>2024003630124</t>
  </si>
  <si>
    <t>Fortalecimiento de la capacidad resolutiva para la respuesta frente a brotes y emergencias en salud pública, del Sistema de Vigilancia en Salud Pública, y el Laboratorio de Salud Pública del departamento del Quindío</t>
  </si>
  <si>
    <t>SAL-192-2026 Realizar los  análisis de las muestras que llegan al laboratorio</t>
  </si>
  <si>
    <t>1803 - 2.3.2.02.02.009.00.00.00.1903012 
.24124 - 61</t>
  </si>
  <si>
    <t xml:space="preserve">190301200 
</t>
  </si>
  <si>
    <t>SAL-193-2026 Realizar los  análisis de las muestras que llegan al laboratorio</t>
  </si>
  <si>
    <t>0318 - 2.3.2.02.02.009.00.00.00.1903012.24124 - 20</t>
  </si>
  <si>
    <t xml:space="preserve">SAL-194-2026 Apoyar las acciones administrativas del laboratorio  </t>
  </si>
  <si>
    <t>0318 - 2.3.2.02.02.009.00.00.00.1903012 
.24124 - 20</t>
  </si>
  <si>
    <t xml:space="preserve">Asistencias técnicas realizadas </t>
  </si>
  <si>
    <t>SAL-195-2026 Realizar las actividades metrologicas ( mantenimiento,calibracion,validacion ) de los equipos del laboratorio</t>
  </si>
  <si>
    <t>1803 - 2.3.2.02.02.009.00.00.00.1903034.24124 - 61</t>
  </si>
  <si>
    <t>SAL-196-2026 Realizar las actividades metrologicas ( mantenimiento,calibracion,validacion ) de los equipos del laboratorio</t>
  </si>
  <si>
    <t>0318 - 2.3.2.02.02.009.00.00.00.1903034.24124 - 20</t>
  </si>
  <si>
    <t>SAL-197-2026 Realización de asistencias técnicas a entidades del sector y las que constituyen la red de laboratorios del departamento.</t>
  </si>
  <si>
    <t>190300102</t>
  </si>
  <si>
    <t>Documentos técnicos socializados</t>
  </si>
  <si>
    <t xml:space="preserve">SAL-198-2026 Socialización de documentos técnicos de los eventos de interés en salud pública y ajuste normativo </t>
  </si>
  <si>
    <t>1803 - 2.3.2.02.02.009.00.00.00.1903001.24124 - 61</t>
  </si>
  <si>
    <t>1903031</t>
  </si>
  <si>
    <t>Servicio de información de vigilancia epidemiológica</t>
  </si>
  <si>
    <t>190303100</t>
  </si>
  <si>
    <t>Informes de evento generados en la vigencia</t>
  </si>
  <si>
    <t>SAL-199-2026 Compra de reactivos,  insumos  y equipos para la vigilancia en salud publica y la atencion en brotes  por el laboratorio</t>
  </si>
  <si>
    <t>1803 - 2.3.2.02.02.009.00.00.00.1903031.24124 - 61</t>
  </si>
  <si>
    <t xml:space="preserve"> 2024003630125</t>
  </si>
  <si>
    <t xml:space="preserve"> Fortalecimiento de las intervenciones, procedimientos y actividades del plan de salud pública de intervenciones colectivas PIC para generar condiciones que favorezcan el control de factores de riesgo de la salud de la población del departamento del Quindío</t>
  </si>
  <si>
    <t>SAL-200-2026 Realizar intervenciones de manera integrada e integral en los diferentes entornos definidos en la norma</t>
  </si>
  <si>
    <t>1803 - 2.3.2.02.02.009.00.00.00.1905031.24125 - 61</t>
  </si>
  <si>
    <t>Entidades territoriales asistidas técnicamente en el plan de intervenciones colectivas</t>
  </si>
  <si>
    <t>SAL-201-2026 Realizar  intervenciones colectivas y formulación, monitoreo, evaluación y asistencia técnica del PIC</t>
  </si>
  <si>
    <t>1803 - 2.3.2.02.02.009.00.00.00.1905050.24125 - 61</t>
  </si>
  <si>
    <t xml:space="preserve">Servicios de información actualizados
</t>
  </si>
  <si>
    <t xml:space="preserve">Sistemas de información del plan de intervenciones colectivas actualizados
</t>
  </si>
  <si>
    <t>SAL-202-2026 Realizar  Apoyo integral en el manejo del sistema de información de las Intervenciones Colectivas del departamento del Quindío.</t>
  </si>
  <si>
    <t>1803 - 2.3.2.02.02.009.00.00.00.1905051.24125 - 61</t>
  </si>
  <si>
    <t>SAL-203-2026 Realizar  Apoyo integral en el manejo del sistema de información de las Intervenciones Colectivas del departamento del Quindío.</t>
  </si>
  <si>
    <t>0318 - 2.3.2.02.02.009.00.00.00.1905051.24125 - 20</t>
  </si>
  <si>
    <t>Unidades móviles para la atención médica adquiridas y dotadas</t>
  </si>
  <si>
    <t>2024003630145</t>
  </si>
  <si>
    <t>Fortalecimiento en la adquisición de unidades móviles para la prestación de servicios de salud en las ESES del Departamento del Quindio.</t>
  </si>
  <si>
    <t>SAL-204-2026 Realizar apoyo financiero para la  adquisición y/o dotación de unidades moviles para atención médica</t>
  </si>
  <si>
    <t>0318 - 2.3.2.02.02.009.00.00.00.1906033.24145 - 20</t>
  </si>
  <si>
    <t>Infraestructura de Laboratorios de Salud Publica Construida y dotada</t>
  </si>
  <si>
    <t>Laboratorio de Salud Publica dotados</t>
  </si>
  <si>
    <t>2023003630002</t>
  </si>
  <si>
    <t>Modernización del laboratorio de Salud Publica Departamento del Quindío</t>
  </si>
  <si>
    <t>SAL-205-2026 Apoyo a la infraestructura y/o dotacion del laboratorio de Salud Publica</t>
  </si>
  <si>
    <t>0318 - 2.3.2.02.02.005.00.00.00.1905044.23002 - 20</t>
  </si>
  <si>
    <t>SAL-206-2026 Apoyo a la infraestructura y/o dotacion del laboratorio de Salud Publica</t>
  </si>
  <si>
    <t>0318 - 2.3.2.02.02.005.00.00.00.1905044.23002 - 01</t>
  </si>
  <si>
    <t>IMPUESTO AL REGISTRO 20% FOMPET</t>
  </si>
  <si>
    <t>Morgues construidas y dotadas</t>
  </si>
  <si>
    <t>2025003630007</t>
  </si>
  <si>
    <t>Construccion y dotacion de la morgue departamental en el Quindio</t>
  </si>
  <si>
    <t>SAL-207-2026 Realizar apoyo financiero para la  adquisición y/o dotación de unidades moviles para atención médica</t>
  </si>
  <si>
    <t>0318 - 2.3.2.02.02.005.00.00.00.1905017.25007 - 20</t>
  </si>
  <si>
    <t>LUISA FERNANDA ARCILA ARCILA</t>
  </si>
  <si>
    <t xml:space="preserve">PROGRAMACION PLAN DE ACCION VIGENCIA 2026 
EMPRESA PARA EL DESARROLLO TERRITORIAL - PROYECTA </t>
  </si>
  <si>
    <t>PLAN DE DESARROLLO DEPARTAMENTAL:   "POR Y PARA LA GENTE"</t>
  </si>
  <si>
    <t>SOCIAL, INCLUSIVA Y PARTICIPATIVA. En el Quindío todos caben y nadie se quedan atrás</t>
  </si>
  <si>
    <t>DEPORTE Y RECREACIÓN</t>
  </si>
  <si>
    <t>Fomento a la recreación, la actividad física y el deporte</t>
  </si>
  <si>
    <t>Servicio de mantenimiento a la infraestructura deportiva</t>
  </si>
  <si>
    <t>Infraestructura deportiva mantenida</t>
  </si>
  <si>
    <t>FORTALECIMIENTO DE LA INFRAESTRUCTURA DEPORTIVA Y RECREATIVA EN EL DEPARTAMENTO DEL QUINDÍO</t>
  </si>
  <si>
    <t>Mejoramiento y/o construccion y/o adecuación de escenarios deportivos en el departamento del Quindío</t>
  </si>
  <si>
    <t>2.3.2.02.02.005.4301004.2024003630012.54270_3</t>
  </si>
  <si>
    <t>ESTAMPILLA PRODESARROLLO</t>
  </si>
  <si>
    <t xml:space="preserve"> Gerente General</t>
  </si>
  <si>
    <t>Apoyo para el fortalecimiento del componente y asistencia tecnica a nivel departamental.</t>
  </si>
  <si>
    <t>2.3.2.02.02.009.4301004.2024003630012.91119_3</t>
  </si>
  <si>
    <t>Estudios y diseños de infraestructura recreo-deportiva</t>
  </si>
  <si>
    <t>Estudios y diseños elaborados</t>
  </si>
  <si>
    <t>Estudios y diseños de infraestructura recreo-deportiva realizados</t>
  </si>
  <si>
    <t>2.3.2.02.02.008.4301031.2024003630012.83411_3</t>
  </si>
  <si>
    <t>FORTALECIMIENTO DE LA INFRAESTRUCTURA EDUCATIVA EN EL DEPARTAMENTO DEL QUINDÍO</t>
  </si>
  <si>
    <t xml:space="preserve">Mejoramiento y/o rehabilitación y/o construcción de obras de infraestructura educativa en el departamento del Quindío. </t>
  </si>
  <si>
    <t>2.3.2.02.02.005.2201062.2024003630011.54129_3</t>
  </si>
  <si>
    <t xml:space="preserve">Apoyo para el fortalecimiento de componente y asistencia técnica a nivel departamental </t>
  </si>
  <si>
    <t>2.3.2.02.02.009.2201062.2024003630011.91119_3</t>
  </si>
  <si>
    <t>Estudios y diseños de infraestructura educativa</t>
  </si>
  <si>
    <t>Estudios y diseños de infraestructura educativa elaborados</t>
  </si>
  <si>
    <t xml:space="preserve">Estudios y diseños de infraestructura educativa realizados </t>
  </si>
  <si>
    <t>2.3.2.02.02.008.2201039.2024003630011.83411_3</t>
  </si>
  <si>
    <t>CONVERGENCIA TERRITORIAL “Quindío interconectado territorialmente, donde el progreso y las oportunidades llegan a todos los rincones”</t>
  </si>
  <si>
    <t>TRANSPORTE</t>
  </si>
  <si>
    <t>Infraestructura red vial regional</t>
  </si>
  <si>
    <t>Vía terciaria mejorada</t>
  </si>
  <si>
    <t>MEJORAMIENTO DE LA INFRAESTRUCTURA VIAL EN EL DEPARTAMENTO DEL QUINDÍO</t>
  </si>
  <si>
    <t xml:space="preserve">Via terciaria mejorada </t>
  </si>
  <si>
    <t>2.3.2.02.02.005.2402041.2024003630013.54211_4</t>
  </si>
  <si>
    <t xml:space="preserve">Apoyo para el fortalecimiento del componente y asistencia técnica a nivel departamental </t>
  </si>
  <si>
    <t>2.3.2.02.02.009.2402041.2024003630013.91119_4</t>
  </si>
  <si>
    <t>Vía urbana mejorada</t>
  </si>
  <si>
    <t xml:space="preserve">Vía urbana mejorada </t>
  </si>
  <si>
    <t>Via urbana mejorada</t>
  </si>
  <si>
    <t>2.3.2.02.02.005.2402114.2024003630013.54211_4</t>
  </si>
  <si>
    <t>2.3.2.02.02.009.2402114.2024003630013.91119_4</t>
  </si>
  <si>
    <t>VIVIENDA, CIUDAD Y TERRITORIO</t>
  </si>
  <si>
    <t>Acceso a soluciones de vivienda</t>
  </si>
  <si>
    <t>Servicio de asistencia técnica y jurídica en saneamiento y titulación de predios</t>
  </si>
  <si>
    <t>Entidades territoriales asistidas técnica y jurídicamente</t>
  </si>
  <si>
    <t>FORTALECIMIENTO DEL SECTOR VIVIENDA EN EL DEPARTAMENTO DEL QUINDIO</t>
  </si>
  <si>
    <t>2.3.2.02.02.009.4001001.2024003630016.91119_4</t>
  </si>
  <si>
    <t>Servicio de saneamiento y titulación de bienes fiscales</t>
  </si>
  <si>
    <t>Bienes fiscales saneados y titulados</t>
  </si>
  <si>
    <t xml:space="preserve">Bienes fiscales saneados y titulados </t>
  </si>
  <si>
    <t>2.3.2.02.02.009.4001007.2024003630016.91119_4</t>
  </si>
  <si>
    <t>Estudios de pre inversión e inversión</t>
  </si>
  <si>
    <t xml:space="preserve"> Estudios o diseños realizados  </t>
  </si>
  <si>
    <t xml:space="preserve">Estudios o diseños realizados </t>
  </si>
  <si>
    <t>2.3.2.02.02.008.4001030.2024003630016.83411_4</t>
  </si>
  <si>
    <t>2.3.2.02.02.009.4001030.2024003630016.91119_4</t>
  </si>
  <si>
    <t>Vivienda de Interés Prioritario Construida</t>
  </si>
  <si>
    <t>2.3.2.02.02.005.4001039.2024003630016.54111_3</t>
  </si>
  <si>
    <t>Vivienda de Interés Prioritario mejoradas</t>
  </si>
  <si>
    <t>Viviendas de Interés Prioritario urbanas mejoradas</t>
  </si>
  <si>
    <t>2.3.2.02.02.005.4001041.2024003630016.54111_3</t>
  </si>
  <si>
    <t>2.3.2.02.02.009.4001041.2024003630016.91119_3</t>
  </si>
  <si>
    <t>Vivienda de Interés Social mejoradas</t>
  </si>
  <si>
    <t>Viviendas de Interés Social urbanas mejoradas</t>
  </si>
  <si>
    <t>2.3.2.02.02.005.4001044.2024003630016.54111_3</t>
  </si>
  <si>
    <t>2.3.2.02.02.009.4001044.2024003630016.91119_3</t>
  </si>
  <si>
    <t>Acceso de la población a los servicios de agua potable y saneamiento básico</t>
  </si>
  <si>
    <t>Servicios de apoyo financiero para la ejecución de proyectos de acueductos y alcantarillado</t>
  </si>
  <si>
    <t>Proyectos de acueducto y alcantarillado en área urbana financiados</t>
  </si>
  <si>
    <t>FORTALECIMIENTO DE LAS REDES DE ACUEDUCTO Y ALCANTARILLADO EN LOS MUNICIPIOS DEL DEPARTAMENTO DEL QUINDÍO</t>
  </si>
  <si>
    <t xml:space="preserve">Mantenimento y/o mejoramiento de las redes de acueducto y alcantarillado </t>
  </si>
  <si>
    <t>2.3.2.02.02.005.4003025.2024003630007.54231_3</t>
  </si>
  <si>
    <t>2.3.2.02.02.009.4003025.2024003630007.91119_3</t>
  </si>
  <si>
    <t>2.3.2.02.02.008.4003042.2024003630007.83411_3</t>
  </si>
  <si>
    <t xml:space="preserve">GOBERNABILIDAD, FORTALECIMIENTO INSTITUCIONAL Y SEGURIDAD.  “Quindío territorio seguro y confiable” </t>
  </si>
  <si>
    <t>MANTENIMIENTO DE LOS EDIFICIOS PÚBLICOS Y/O EQUIPAMIENTOS COLECTIVOS Y COMUNITARIOS EN EL DEPARTAMENTO DEL QUINDÍO</t>
  </si>
  <si>
    <t xml:space="preserve">Mejoramiento de los edificios publicos y/o equipamientos colectivos y comunitarios existentes en el departamentos del Quindío. </t>
  </si>
  <si>
    <t>2.3.2.02.02.005.4599016.2024003630015.54790_4</t>
  </si>
  <si>
    <t>2.3.2.02.02.009.4599016.2024003630015.91119_4</t>
  </si>
  <si>
    <t xml:space="preserve">LINA MARCELA ROLDAN PRIETO </t>
  </si>
  <si>
    <t>GERENTE GENERAL</t>
  </si>
  <si>
    <t>PROGRAMACIÓN PLAN DE ACCIÓN 
SECRETARÍA: TIC        AÑO:  2026</t>
  </si>
  <si>
    <t>Tecnologías de la Información y las Comunicaciones</t>
  </si>
  <si>
    <t>Facilitar el acceso y uso de las Tecnologías de la Información y las Comunicaciones en todo el territorio nacional</t>
  </si>
  <si>
    <t>Servicio de apoyo en tecnologías de la información y las comunicaciones para la educación básica, primaria y secundaria</t>
  </si>
  <si>
    <t>Estudiantes de sedes educativas oficiales beneficiados con el servicio de apoyo en tecnologías de la información y las comunicaciones para la educación</t>
  </si>
  <si>
    <t>Fortalecimiento Social TIC en el Departamento del Quindío</t>
  </si>
  <si>
    <t>TIC-1-2026 Brindar apoyo técnico y/o profesional en la educación informal en el uso de herramientas tecnológicas innovadoras y estrategias didácticas con enfoque STEAM</t>
  </si>
  <si>
    <t>0324 - 2.3.2.02.02.009.00.00.00.2301062.24004 - 20</t>
  </si>
  <si>
    <t>Recursos Propios</t>
  </si>
  <si>
    <t>Secretario TIC</t>
  </si>
  <si>
    <t xml:space="preserve">Fortalecimiento Social TIC en el Departamento del Quindío </t>
  </si>
  <si>
    <t>TIC-2-2026 Brindar apoyo técnico y/o profesional en la elaboración de planes, estrategias, programas de tecnologías de la información y las comunicaciones.</t>
  </si>
  <si>
    <t>0324 - 2.3.2.02.02.009.00.00.00.2301004.24004 - 20</t>
  </si>
  <si>
    <t>Servicio de educación informal en tecnologías de la información y las comunicaciones.</t>
  </si>
  <si>
    <t>Personas capacitadas en tecnologías de la información y las comunicaciones</t>
  </si>
  <si>
    <t>TIC-3-2026 Bindar apoyo técnico y/o profesional para la capacitación de personas en tecnologías de la información y las comunicaciones.</t>
  </si>
  <si>
    <t>0324 - 2.3.2.02.02.009.00.00.00.2301030.24004 - 20</t>
  </si>
  <si>
    <t>Servicio de educación para el trabajo en temas de uso pedagógico de tecnologías de la información y las comunicaciones.</t>
  </si>
  <si>
    <t>Docentes formados en uso pedagógico de tecnologías de la información y las comunicaciones.</t>
  </si>
  <si>
    <t>TIC-4-2026 Brindar apoyo técnico y/o profesional en la formación de docente para el uso pedagógico de tecnologías de la información y las comunicaciones.</t>
  </si>
  <si>
    <t>0324 - 2.3.2.02.02.009.00.00.00.2301035.24004 - 20</t>
  </si>
  <si>
    <t>Eventos de socialización de experiencias exitosas en el uso práctico de las tecnologías de la información en la educación</t>
  </si>
  <si>
    <t>TIC-5-2026 Brindar apoyo tecnico y/o profesional en el diseño y realización de evento o ferias tecnológicas en el departamento del Quindío</t>
  </si>
  <si>
    <t>Servicio de acceso y uso de Tecnologías de la Información y las Comunicaciones</t>
  </si>
  <si>
    <t>Centros de Acceso Comunitario en zonas urbanas y/o rurales y/o apartadas funcionando</t>
  </si>
  <si>
    <t>Fortalecimiento de la conectividad y acceso a las tecnologias de la información y comunicaciones en el departamento del Quindio</t>
  </si>
  <si>
    <t>TIC-6-2026 Brindar apoyo tecnico y/o profesional en el fortalecimiento de los centros de acceso comunitarios en el departamento del Quindio</t>
  </si>
  <si>
    <t>0324 - 2.3.2.02.02.009.00.00.00.2301024.24005 - 20</t>
  </si>
  <si>
    <t>2301028</t>
  </si>
  <si>
    <t>Servicio de conexiones a redes de servicio portador</t>
  </si>
  <si>
    <t>Municipios y áreas no municipalizadas conectados a redes de servicio</t>
  </si>
  <si>
    <t>TIC-7-2026 Brindar apoyo técnico y/o profesional en la implementación del servicio de conectividad y el acceso a las Tecnologías de la Información y las Comunicaciones (TIC) en el Departamento del Quindío, en el marco del proyecto de fortalecimiento de la conectividad y cierre de brechas digitales.</t>
  </si>
  <si>
    <t>0324 - 2.3.2.02.02.009.00.00.00.2301028.24005 - 20</t>
  </si>
  <si>
    <t>2301027</t>
  </si>
  <si>
    <t>Servicio de conexiones a redes de acceso</t>
  </si>
  <si>
    <t>Conexiones a internet fijo y / o móvil</t>
  </si>
  <si>
    <t>10</t>
  </si>
  <si>
    <t>TIC-8-2026 Brindar apoyo técnico y/o profesional en el seguimiento de la conexión de internet fijo y/o móvil en hogares de bajos ingresos del departamento del Quindio.</t>
  </si>
  <si>
    <t>0324 - 2.3.2.02.02.009.00.00.00.2301027.24005 - 20</t>
  </si>
  <si>
    <t>Servicio de acceso zonas digitales</t>
  </si>
  <si>
    <t>Usuarios asistidos por zona digital</t>
  </si>
  <si>
    <t>TIC-9-2026 Brindar apoyo técnico y/o profesional en el seguimiento de las zonas digitales rurales y/o urbanas del departamento del Quindio</t>
  </si>
  <si>
    <t>0324 - 2.3.2.02.02.009.00.00.00.2301079.24005 - 20</t>
  </si>
  <si>
    <t>2301079</t>
  </si>
  <si>
    <t>Zonas digitales instaladas</t>
  </si>
  <si>
    <t>TIC-10-2026 Brindar apoyo en la instalacion de zonas digitales en el departamento del Quindio</t>
  </si>
  <si>
    <t>Fortalecimiento en Ciencia, Tecnología e Innovaciòn en el Departamento del Quindìo</t>
  </si>
  <si>
    <t>TIC-11-2026 Brindar apoyo tecnico y/o profesional con el objetivo de elaborar documentos de investigación del sector CTI</t>
  </si>
  <si>
    <t>0324 - 2.3.2.02.02.009.00.00.00.3906012.24024 - 20</t>
  </si>
  <si>
    <t>3906011</t>
  </si>
  <si>
    <t>Servicio de apropiación social del conocimiento</t>
  </si>
  <si>
    <t>Estrategias de apropiación realizadas</t>
  </si>
  <si>
    <t>TIC-12-2026 Brindar apoyo tecnico y/o profesional con el fin de crear, desarrollar, estrategias de apropiación del sector CTI</t>
  </si>
  <si>
    <t xml:space="preserve">0324 - 2.3.2.02.02.009.00.00.00.3906011.24024 - 20 </t>
  </si>
  <si>
    <t>Fomento del desarrollo de aplicaciones, software y contenidos para impulsar la apropiación de las Tecnologías de la Información y las Comunicaciones (TIC)</t>
  </si>
  <si>
    <t>Documentos de evaluación de programas enfocados en enfoque diferencial sobre las TIC</t>
  </si>
  <si>
    <t>Fortalecimiento de la Estrategia de Gobierno Digital e Infraestructura Tecnológica en el Departamento del Quindío</t>
  </si>
  <si>
    <t xml:space="preserve">TIC-13-2026 Brindar apoyo técnico y/o profesional en la generación y planificación necesaria para la creación de competencias TIC en el Departamento del Quindio </t>
  </si>
  <si>
    <t>0324 - 2.3.2.02.02.009.00.00.00.2302004.24026 - 20</t>
  </si>
  <si>
    <t>Servicio de educación informal en Gestión TI y en Seguridad y Privacidad de la Información</t>
  </si>
  <si>
    <t>Personas capacitadas en Gestión TI y en Seguridad y Privacidad de la Información</t>
  </si>
  <si>
    <t>TIC-14-2026 Brindar apoyo tecnico y/o profesional en la educacion informal en gestión TI, seguridad y prvacidad de la información</t>
  </si>
  <si>
    <t>0324 - 2.3.2.02.02.009.00.00.00.2302066.24026 - 20</t>
  </si>
  <si>
    <t>Servicio de educación informal para la implementación de la estrategia de gobierno digital</t>
  </si>
  <si>
    <t>Personas capacitadas para la implementación de la Estrategia de Gobierno digital</t>
  </si>
  <si>
    <t>TIC-15-2026 Brindar apoyo tecnico y/o profesional en la educacion informal de la Estrategia de Gobierno digital</t>
  </si>
  <si>
    <t>0324 - 2.3.2.02.02.009.00.00.00.2302033.24026 - 20</t>
  </si>
  <si>
    <t>Servicio de apoyo financiero al desarrollo de soluciones tecnológicas</t>
  </si>
  <si>
    <t>Soluciones Tecnológicas apoyadas</t>
  </si>
  <si>
    <t>TIC-16-2026 Aunar esfuerzos a través de convenios, acompañamientos y/o proyectos con el fin de apoyar en la implementación de soluciones tecnológicas innovadoras de emprendedores y/o emprendimientos con base en tecnología</t>
  </si>
  <si>
    <t>0324 - 2.3.2.02.02.009.00.00.00.2302012.24026 - 20</t>
  </si>
  <si>
    <t>Servicio de apoyo financiero para el desarrollo de soluciones tecnológicas para MiPyme</t>
  </si>
  <si>
    <t>Proyectos apoyados</t>
  </si>
  <si>
    <t>TIC-17-2026 Aunar esfuerzos a traves de alianzas con el sector productivo para facilitar la implementación de soluciones tecnológicas e innovadoras de las MiPyme del departamento del Quindio</t>
  </si>
  <si>
    <t>0324 - 2.3.2.02.02.009.00.00.00.2302015.24026 - 20</t>
  </si>
  <si>
    <t>Desarrollos digitales</t>
  </si>
  <si>
    <t>Productos digitales desarrollados</t>
  </si>
  <si>
    <t>TIC-18-2026 Servicios de productos digitales</t>
  </si>
  <si>
    <t>0324 - 2.3.2.02.02.008.00.00.00.2302003.24026 - 20</t>
  </si>
  <si>
    <t>Servicios tecnológicos</t>
  </si>
  <si>
    <t>Índice de capacidad en la prestación de servicios de tecnología</t>
  </si>
  <si>
    <t>TIC-19-2026 Brindar apoyo tecnico y/o profesional en la sostenibilidad y/o disponibilidad de la infraestructura tecnologica del centro administrativo departamental</t>
  </si>
  <si>
    <t>0324 - 2.3.2.02.02.009.00.00.00.2302101.24026 - 20</t>
  </si>
  <si>
    <t>TIC-22-2026Servicio de difusión y promoción en el acceso y uso de las tecnologías de la información y las comunicaciones</t>
  </si>
  <si>
    <t>TIC-20-2026 Brindar apoyo técnico y/o profesional en la elaboración de lineamientos técnicos de la estrategia de gobierno digital del Departamento del Quindio</t>
  </si>
  <si>
    <t>0324 - 2.3.2.02.02.009.00.00.00.2302083.24026 - 20</t>
  </si>
  <si>
    <t>Documentos metodológicos</t>
  </si>
  <si>
    <t>Documento metodológico del modelo de acompañamiento para la implementación de la Estrategia de Gobierno digital elaborado</t>
  </si>
  <si>
    <t>TIC-21-2026 Brindar apoyo tecnico y/o profesional al diseño y planificación de los documentos metodologicos del modelo de acompañamiento para la implementación de la Estrategia de Gobierno digital</t>
  </si>
  <si>
    <t>0324 - 2.3.2.02.02.009.00.00.00.2302007.24026 - 20</t>
  </si>
  <si>
    <t>JHON  MARIO LIEVANO FERNANDEZ</t>
  </si>
  <si>
    <t>SECRETARIO TIC</t>
  </si>
  <si>
    <t>PROGRAMACIÓN PLAN DE ACCIÓN 
SECRETARÍA: IDTQ          AÑO:  2026</t>
  </si>
  <si>
    <t xml:space="preserve">CONVERGENCIA TERRITORIAL “Quindío interconectado territorialmente, donde el progreso y las oportunidades llegan a todos los rincones”
</t>
  </si>
  <si>
    <t>Transporte</t>
  </si>
  <si>
    <t xml:space="preserve">Seguridad de transporte
</t>
  </si>
  <si>
    <t xml:space="preserve">Servicio de educación informal en seguridad vial
</t>
  </si>
  <si>
    <t xml:space="preserve">Personas beneficiadas de estrategias de educación informal
</t>
  </si>
  <si>
    <t>Fortalecimiento de la movilidad en las vías de la jurisdicción del Instituto Departamental de Tránsito del Quindío.</t>
  </si>
  <si>
    <t>Implementar las Estrategias Educativas dirigidas a los diferentes actores viales</t>
  </si>
  <si>
    <t>2.3.5.02.09.240902200.2024003630018.91121_1</t>
  </si>
  <si>
    <t xml:space="preserve">Otros recursos (Propios de  IDTQ)
</t>
  </si>
  <si>
    <t>Director IDTQ</t>
  </si>
  <si>
    <t>2409004</t>
  </si>
  <si>
    <t xml:space="preserve">Seguimiento y control a la operación de los sistemas de transporte
</t>
  </si>
  <si>
    <t>240900400</t>
  </si>
  <si>
    <t xml:space="preserve">Operativos de control realizados
</t>
  </si>
  <si>
    <t>Realizar operativos de control en los puntos planificados.</t>
  </si>
  <si>
    <t>2.3.5.02.09.240900400.2024003630018.91134_1</t>
  </si>
  <si>
    <t>Otros recursos (Propios de  IDTQ)</t>
  </si>
  <si>
    <t>2409039</t>
  </si>
  <si>
    <t xml:space="preserve">Vías con dispositivos de control y señalización
</t>
  </si>
  <si>
    <t>Vías con dispositivos de control y señalización instalados</t>
  </si>
  <si>
    <t>Actualizar el documento diagnostico que identifica las vías que requieren demarcación</t>
  </si>
  <si>
    <t>2.3.5.02.09.240903900.2024003630018.91134_1</t>
  </si>
  <si>
    <t>Adquirir los elementos metálicos para la señalización.</t>
  </si>
  <si>
    <t>2.3.5.01.04.240903900.2024003630018.42950_1</t>
  </si>
  <si>
    <t>Adquirir las pinturas para la demarcación horizontal.</t>
  </si>
  <si>
    <t>2.3.5.01.03.240903900.2024003630018.35110_1</t>
  </si>
  <si>
    <t>240903900</t>
  </si>
  <si>
    <t>Realizar la demarcación horizontal y vertical de acuerdo al diagnostico.</t>
  </si>
  <si>
    <t>2409010</t>
  </si>
  <si>
    <t xml:space="preserve">Servicio de información de seguridad vial
</t>
  </si>
  <si>
    <t>240901000</t>
  </si>
  <si>
    <t>Informes de seguridad vial</t>
  </si>
  <si>
    <t>Elaborar y difundir los informes sobre la seguridad vial en la jurisdicción.</t>
  </si>
  <si>
    <t>2.3.5.02.09.240901000.2024003630018.91114_1</t>
  </si>
  <si>
    <t>240901003</t>
  </si>
  <si>
    <t xml:space="preserve">Observatorio vial en funcionamiento
</t>
  </si>
  <si>
    <t>Seguimiento y mantenimiento al funcionamiento del observatorio vial.</t>
  </si>
  <si>
    <t>2.3.5.02.09.240901003.2024003630018.91115_1</t>
  </si>
  <si>
    <t>2409014</t>
  </si>
  <si>
    <t xml:space="preserve">Documentos de planeación
</t>
  </si>
  <si>
    <t xml:space="preserve">Documentos de planeación realizados
</t>
  </si>
  <si>
    <t xml:space="preserve">Convocar el Comité Departamental de Seguridad Vial </t>
  </si>
  <si>
    <t>2.3.5.02.09.240901400.2024003630018.91114_1</t>
  </si>
  <si>
    <t>Apoyar en la implementación del Plan Departamental de Seguridad Vial por parte del Gobierno departamental</t>
  </si>
  <si>
    <t>Realizar el seguimiento al Plan Estrategico de Control Contra la Ilegalidad en el Transporte - PECCIT</t>
  </si>
  <si>
    <t>Seguimiento a la implementación del Plan de Gestión de Velocidad</t>
  </si>
  <si>
    <t>URIEL ENOC ORTIZ DÍAZ</t>
  </si>
  <si>
    <t>DIRECTOR</t>
  </si>
  <si>
    <t>PROGRAMACIÓN PLAN DE ACCIÓN 
SECRETARÍA:  INDEPORTES         AÑO:  2025</t>
  </si>
  <si>
    <t>Social, Inclusiva y Participativa "En el Quindío todos caben y nadie se queda atrás"</t>
  </si>
  <si>
    <t>Deporte y Recreación</t>
  </si>
  <si>
    <t>FOMENTO A LA RECREACIÓN, LA ACTIVIDAD FÍSICA Y EL DEPORTE</t>
  </si>
  <si>
    <t>Servicio de Escuelas Deportivas</t>
  </si>
  <si>
    <t>Niños, niñas, adolescentes y jóvenes inscritos en Escuelas Deportivas</t>
  </si>
  <si>
    <t>Fortalecimiento de hábitos y estilos de vida saludables a través de la actividad física, la recreación y el deporte en el departamento del Quindío</t>
  </si>
  <si>
    <t>Adquisición de bienes y servicios al programa de Escuelas Deportivas que promuevan a los niños, niñas adolescentes y jóvenes una herramienta de convivencia y paz en el departamento</t>
  </si>
  <si>
    <t>2.3.2.02.01.004.4301007.2024003630029.4299603_33.0</t>
  </si>
  <si>
    <t>33.0</t>
  </si>
  <si>
    <t>MONOPOLIO</t>
  </si>
  <si>
    <t>Gerente General</t>
  </si>
  <si>
    <t>Brindar apoyo y/o seguimiento a los procesos de formación deportiva, promoviendo y fortaleciendo a los niños, niñas, adolescentes y jóvenes hacia el deporte competitivo "escuelas deportivas" como herramienta de convivencia y paz en el departamento.</t>
  </si>
  <si>
    <t>2.3.2.02.02.009.4301007.2024003630029.96590_27.0</t>
  </si>
  <si>
    <t>27.0</t>
  </si>
  <si>
    <t>TASA</t>
  </si>
  <si>
    <t>Implementación al servicio escuelas deportivas, generando una cultura deportiva en la comunidad mediante procesos formativos dirigidos a niños, niñas, adolescentes y jóvenes.</t>
  </si>
  <si>
    <t>2.3.2.02.01.003.4301007.2024003630029.3844098_27.0</t>
  </si>
  <si>
    <t>2.3.2.02.01.003.4301007.2024003630029.3844098_11.0</t>
  </si>
  <si>
    <t>11.0</t>
  </si>
  <si>
    <t>IMPOCONSUMO</t>
  </si>
  <si>
    <t>Municipios con escuelas deportivas</t>
  </si>
  <si>
    <t>Brindar apoyo y/o seguimiento a los procesos de formación deportiva, promoviendo y fortaleciendo a los municipios hacia el deporte competitivo "escuelas deportivas" como herramienta de convivencia y paz en el departamento.</t>
  </si>
  <si>
    <t>2.3.2.02.02.009.4301007.2024003630029.96590_33.0</t>
  </si>
  <si>
    <t>2.3.2.02.02.009.4301007.2024003630029.83990_2.0</t>
  </si>
  <si>
    <t>2.0</t>
  </si>
  <si>
    <t>ICLD</t>
  </si>
  <si>
    <t>Dotación para los procesos de formación deportiva, promoviendo y fortaleciendo a los municipios hacia el deporte competitivo "escuelas deportivas" como herramienta de convivencia y paz en el departamento.</t>
  </si>
  <si>
    <t>2.3.2.02.01.002.4301007.2024003630029.2822807_33.0</t>
  </si>
  <si>
    <t>Transferencia ley 1289 para el Apoyo al deporte escolar en los municipios del Departamento del Quindío</t>
  </si>
  <si>
    <t>2.3.2.02.02.009.4301007.2024003630029.96511_13.1</t>
  </si>
  <si>
    <t>13.1</t>
  </si>
  <si>
    <t>IMPUESTO CIGARRILLO</t>
  </si>
  <si>
    <t>Servicio de organización de eventos deportivos comunitarios</t>
  </si>
  <si>
    <t>Adquisición de bienes y/o servicios para los eventos que encabeza o son apoyados por el Instituto Departamental del Deporte y la Recreación del Quindío INDEPORTES QUINDÍO</t>
  </si>
  <si>
    <t>2.3.2.02.01.004.4301032.2024003630029.4299603_27.0</t>
  </si>
  <si>
    <t>2.3.2.02.02.009.4301032.2024003630029.93199_27.0</t>
  </si>
  <si>
    <t>2.3.2.02.02.009.4301032.2024003630029.96511_27.0</t>
  </si>
  <si>
    <t>2.3.2.02.02.008.4301032.2024003630029.83611_2.0</t>
  </si>
  <si>
    <t>Brindar apoyo y/o seguimiento a los procesos de capacitación los cuales promuevan una cultura deportiva y de actividad física en la comunidad</t>
  </si>
  <si>
    <t>2.3.2.02.02.009.4301032.2024003630029.96590_27.0</t>
  </si>
  <si>
    <t>Servicio de educación informal en recreación</t>
  </si>
  <si>
    <t>2.3.2.02.02.009.4301035.2024003630029.92912_27.0</t>
  </si>
  <si>
    <t>Servicio de promoción de la actividad física, la recreación y el deporte</t>
  </si>
  <si>
    <t>Personas que acceden a servicios deportivos, recreativos y de actividad fisica</t>
  </si>
  <si>
    <t>Adquisición de bienes y servicios a los programas de recreación, actividad física y deporte social comunitario</t>
  </si>
  <si>
    <t>2.3.2.02.01.003.4301037.2024003630029.32128_2.0</t>
  </si>
  <si>
    <t>2.3.2.02.02.007.4301037.2024003630029.71359_27.0</t>
  </si>
  <si>
    <t>2.3.2.02.02.006.4301037.2024003630029.63391_27.0</t>
  </si>
  <si>
    <t>2.3.2.02.02.006.4301037.2024003630029.63391_33.0</t>
  </si>
  <si>
    <t>2.3.2.02.02.006.4301037.2024003630029.63391_11.0</t>
  </si>
  <si>
    <t>2.3.2.02.01.003.4301037.2024003630029.33361_2.0</t>
  </si>
  <si>
    <t>2.3.2.02.02.008.4301037.2024003630029.83611_2.0</t>
  </si>
  <si>
    <t>2.3.2.02.02.009.4301037.2024003630029.96511_27.0</t>
  </si>
  <si>
    <t>2.3.2.02.02.006.4301037.2024003630029.64119_27.0</t>
  </si>
  <si>
    <t>2.3.2.02.01.003.4301037.2024003630029.35130_2.0</t>
  </si>
  <si>
    <t>2.3.2.02.02.009.4301037.2024003630029.96590_27.0</t>
  </si>
  <si>
    <t>2.3.2.02.02.009.4301037.2024003630029.96590_33.0</t>
  </si>
  <si>
    <t>2.3.2.02.02.009.4301037.2024003630029.93199_27.0</t>
  </si>
  <si>
    <t>Brindar apoyo y/o seguimiento a los programas de recreación, actividad física y deporte social comunitario</t>
  </si>
  <si>
    <t>Dotación para el Fomento a la recreación, la actividad física y el deporte.</t>
  </si>
  <si>
    <t>2.3.2.02.01.002.4301037.2024003630029.2822807_27.0</t>
  </si>
  <si>
    <t>2.3.2.02.01.002.4301037.2024003630029.2822807_33.0</t>
  </si>
  <si>
    <t>2.3.2.02.01.002.4301037.2024003630029.2822807_11.0</t>
  </si>
  <si>
    <t>Implementación para el Fomento a la recreación, la actividad física y el deporte.</t>
  </si>
  <si>
    <t>2.3.2.02.01.003.4301037.2024003630029.3844098_27.0</t>
  </si>
  <si>
    <t>2.3.2.02.01.003.4301037.2024003630029.3844098_11.0</t>
  </si>
  <si>
    <t>Municipios implementando programas de recreación, actividad física y deporte social comunitario</t>
  </si>
  <si>
    <t>Brindar apoyo y/o seguimiento a los programas de recreación, actividad física y deporte social comunitario en los municipios del departamento</t>
  </si>
  <si>
    <t>2.3.2.02.02.008.4301037.2024003630029.83990_2.0</t>
  </si>
  <si>
    <t>FORMACIÓN Y PREPARACIÓN DE DEPORTISTAS</t>
  </si>
  <si>
    <t>Servicio de apoyo financiero a atletas</t>
  </si>
  <si>
    <t>Estímulos entregados</t>
  </si>
  <si>
    <t>Fortalecimiento de la formación y preparación deportiva a través de los organismos deportivos en el departamento del Quindío</t>
  </si>
  <si>
    <t>Apoyo a los deportistas con proyección a altos logros</t>
  </si>
  <si>
    <t>2.3.2.02.02.009.4302002.2024003630017.96610_27.0</t>
  </si>
  <si>
    <t>2.3.2.02.02.009.4302002.2024003630017.96610_33.0</t>
  </si>
  <si>
    <t>2.3.2.02.02.009.4302002.2024003630017.96610_33.1</t>
  </si>
  <si>
    <t>33.1</t>
  </si>
  <si>
    <t>Servicio de asistencia técnica para la promoción del deporte</t>
  </si>
  <si>
    <t>Organismos deportivos asistidos</t>
  </si>
  <si>
    <t>Adquisición de bienes y/o servicios para el fortalecimiento de la reserva deportiva y deporte competitivo de altos logros.</t>
  </si>
  <si>
    <t>2.3.2.02.02.007.4302075.2024003630017.71359_27.0</t>
  </si>
  <si>
    <t>2.3.2.02.02.006.4302075.2024003630017.63391_27.0</t>
  </si>
  <si>
    <t>2.3.2.02.02.006.4302075.2024003630017.63391_33.0</t>
  </si>
  <si>
    <t>2.3.2.02.02.009.4302075.2024003630017.93199_27.0</t>
  </si>
  <si>
    <t>2.3.2.02.02.009.4302075.2024003630017.93199_33.0</t>
  </si>
  <si>
    <t>2.3.2.02.02.008.4302075.2024003630017.83611_2.0</t>
  </si>
  <si>
    <t>2.3.2.02.02.009.4302075.2024003630017.96511_27.0</t>
  </si>
  <si>
    <t>2.3.2.02.02.006.4302075.2024003630017.64119_27.0</t>
  </si>
  <si>
    <t>2.3.2.02.01.004.4302075.2024003630017.4299603_27.0</t>
  </si>
  <si>
    <t>2.3.2.02.02.009.4302075.2024003630017.93122_27.0</t>
  </si>
  <si>
    <t>2.3.2.02.01.003.4302075.2024003630017.3844098_27.0</t>
  </si>
  <si>
    <t>2.3.2.02.02.009.4302075.2024003630017.96590_27.0</t>
  </si>
  <si>
    <t>2.3.2.02.02.009.4302075.2024003630017.96590_33.0</t>
  </si>
  <si>
    <t>Aunar esfuerzos administrativos, técnicos, financieros y/o logísticos, para el fomento y la masificación del deporte en el departamento del Quindío</t>
  </si>
  <si>
    <t>2.3.2.02.02.009.4302075.2024003630017.96620_27.0</t>
  </si>
  <si>
    <t>Brindar asistencia técnica, administrativa, jurídica, biomédica, y/o metodológica a los procesos deportivos y/o ligas del departamento del Quindío.</t>
  </si>
  <si>
    <t>2.3.2.02.02.008.4302075.2024003630017.83990_2.0</t>
  </si>
  <si>
    <t>Dotación deportiva para el fortalecimiento del deporte competitivo de altos logros</t>
  </si>
  <si>
    <t>2.3.2.02.01.002.4302075.2024003630017.2822807_27.0</t>
  </si>
  <si>
    <t>2.3.2.02.01.002.4302075.2024003630017.2822807_33.0</t>
  </si>
  <si>
    <t>CAMILO JOSÉ ORTIZ MONTERO</t>
  </si>
  <si>
    <t>Puente construido en vía secundaria nueva</t>
  </si>
  <si>
    <t>Construcción de la red vial regional del departamento del quindio via aeropuerto cordillera del Quindío</t>
  </si>
  <si>
    <t>INF-1-2026 Construccion de puentes en vias secundarias</t>
  </si>
  <si>
    <t>0308 - 2.3.2.02.02.005.00.00.00.2402004.24016 - 46</t>
  </si>
  <si>
    <t>CREDITO PUBLICO</t>
  </si>
  <si>
    <t>SECRETARIA DE AGUAS E INFRAESTRUCTURA</t>
  </si>
  <si>
    <t>Vía secundaria construida</t>
  </si>
  <si>
    <t xml:space="preserve">Vía secundaria construida </t>
  </si>
  <si>
    <t>INF-2-2026 via secundaria construida</t>
  </si>
  <si>
    <t>0308 - 2.3.2.02.02.005.00.00.00.2402001.24016 - 46</t>
  </si>
  <si>
    <t>Vivienda, ciudad y territorio</t>
  </si>
  <si>
    <t>Alcantarillados construidos</t>
  </si>
  <si>
    <t>Desarrollo del plan Departamental para el Manejo Empresarial de los Servicios de Agua y Saneamiento PDA en el departamento del  Quindio</t>
  </si>
  <si>
    <t>INF-3-2026 Realizar obras para el mejoramiento del sistema de saneamiento basico en los municipios del departamento del Quindio</t>
  </si>
  <si>
    <t>0308 - 2.3.2.02.02.005.00.00.00.4003018.24028 - 27</t>
  </si>
  <si>
    <t>SISTEMA GENERAL DE PARTICIPACIONES AGUA POTABLE</t>
  </si>
  <si>
    <t>INF-4-2026 Realizar obras para el mejoramiento del sistema de saneamiento basico en los municipios del departamento del Quindio</t>
  </si>
  <si>
    <t>0308 - 2.3.2.02.02.005.00.00.00.4003018.24028 - 04</t>
  </si>
  <si>
    <t xml:space="preserve"> Servicios de implementación del Plan de Gestión Integral de Residuos Solidos PGIRS</t>
  </si>
  <si>
    <t>Plan de Gestión Integral de Residuos Solidos implementado</t>
  </si>
  <si>
    <t>INF-5-2026 Realizar las acciones necesarias para la implementacion del Plan de Gestión Integral de Residuos Solidos</t>
  </si>
  <si>
    <t>0308 - 2.3.2.02.02.005.00.00.00.4003022.24028 - 27</t>
  </si>
  <si>
    <t xml:space="preserve"> Servicios de apoyo financiero para la ejecución de proyectos de acueductos y alcantarillado</t>
  </si>
  <si>
    <t>INF-6-2026 Realizar acciones encaminadas a mejorar la infraestructura de acueducto y alcantarillado en la zona urbana de los municipios</t>
  </si>
  <si>
    <t>0308 - 2.3.2.02.02.005.00.00.00.4003025.24028 - 27</t>
  </si>
  <si>
    <t>INF-7-2026 Realizar acciones encaminadas a mejorar la infraestructura de acueducto y alcantarillado en la zona urbana de los municipios</t>
  </si>
  <si>
    <t>0308 - 2.3.2.02.02.005.00.00.00.4003025.24028 - 04</t>
  </si>
  <si>
    <t>Servicios de apoyo financiero para la ejecución de proyectos de acueductos y de manejo de aguas residuales</t>
  </si>
  <si>
    <t xml:space="preserve"> Proyectos de acueducto y de manejo de aguas residuales en área rural financiados</t>
  </si>
  <si>
    <t>INF-8-2026 Proyectos de acueducto y de manejo de aguas residuales en área rural financiados</t>
  </si>
  <si>
    <t>0308 - 2.3.2.02.02.005.00.00.00.4003026.24028 - 27</t>
  </si>
  <si>
    <t xml:space="preserve"> Estudios o diseños realizados </t>
  </si>
  <si>
    <t>INF-9-2026 Realizar los estudios y diseños necesarios para la ejecucion de proyectos en APSB</t>
  </si>
  <si>
    <t>0308 - 2.3.2.02.02.005.00.00.00.4003042.24028 - 27</t>
  </si>
  <si>
    <t>Deporte y recreación</t>
  </si>
  <si>
    <t>Fortalecimiento de la infraestructura deportiva y recreativa en el departamento del  Quindio</t>
  </si>
  <si>
    <t xml:space="preserve">INF-10-2026 Mantenimiento de la infraestructura deportiva </t>
  </si>
  <si>
    <t>0308 - 2.3.2.02.02.005.00.00.00.4301004.24032 - 04</t>
  </si>
  <si>
    <t>INF-11-2026 Interventoría integral para los contratos que se adelanten</t>
  </si>
  <si>
    <t>0308 - 2.3.2.02.02.009.00.00.00.4301004.24032 - 04</t>
  </si>
  <si>
    <t>INF-12-2026 Suministro de materiales, elementos y equipos necesarios para la ejecución del proyecto</t>
  </si>
  <si>
    <t>0308 - 2.3.2.02.01.004.00.00.00.4301004.24032 - 04</t>
  </si>
  <si>
    <t>INF-13-2026 Servicio de transporte para el desplazamiento del personal y materiales a las obras físicas.</t>
  </si>
  <si>
    <t>0308 - 2.3.2.02.02.006.00.00.00.4301004.24032 - 20</t>
  </si>
  <si>
    <t>INF-14-2026 Ejecucion de estrategias de comunicación, socializacion y publicidad asociadas a la ejecucion del proyecto</t>
  </si>
  <si>
    <t>INF-15-2026 Acompañamiento Operativo, técnico, jurídico administrativo y financiero; profesional y de apoyo a la gestión en cumplimiento del proyecto</t>
  </si>
  <si>
    <t>Parques recreativos mejorados</t>
  </si>
  <si>
    <t xml:space="preserve"> Parques recreativos mejorados</t>
  </si>
  <si>
    <t>INF-16-2026 Mejoramiento de parques recreativos</t>
  </si>
  <si>
    <t>0308 - 2.3.2.02.02.005.00.00.00.4301013.24032 - 04</t>
  </si>
  <si>
    <t>INF-17-2026 Interventoría integral para los contratos que se adelanten</t>
  </si>
  <si>
    <t>0308 - 2.3.2.02.02.009.00.00.00.4301013.24032 - 04</t>
  </si>
  <si>
    <t>INF-18-2026 Suministro de materiales, elementos y equipos necesarios para la ejecución del proyecto</t>
  </si>
  <si>
    <t>0308 - 2.3.2.02.01.004.00.00.00.4301013.24032 - 04</t>
  </si>
  <si>
    <t>INF-19-2026 Servicio de transporte para el desplazamiento del personal y materiales a las obras físicas.</t>
  </si>
  <si>
    <t>0308 - 2.3.2.02.02.006.00.00.00.4301013.24032 - 20</t>
  </si>
  <si>
    <t>INF-20-2026 Acompañamiento Operativo, técnico, jurídico administrativo y financiero; profesional y de apoyo a la gestión en cumplimiento del proyecto</t>
  </si>
  <si>
    <t>INF-21-2026 Acompañamiento Operativo, técnico, jurídico administrativo y financiero; profesional y de apoyo a la gestión en cumplimiento del proyecto</t>
  </si>
  <si>
    <t>0308 - 2.3.2.02.02.009.00.00.00.4301013.24032 - 20</t>
  </si>
  <si>
    <t>INF-22-2026 Ejecucion de estrategias de comunicación, socializacion y publicidad asociadas a la ejecucion del proyecto</t>
  </si>
  <si>
    <t>Obras de infraestructura para la reducción del riesgo de desastres</t>
  </si>
  <si>
    <t xml:space="preserve">
Obras de infraestructura para la reducción del riesgo de desastres realizadas</t>
  </si>
  <si>
    <t>Construcción de obras de infraestructura para la reducción y/o mitigación del riesgo en el Departamento del Quindío</t>
  </si>
  <si>
    <t>INF-23-2026 Obras de infraestructura para mitigación y atención a desastres realizadas</t>
  </si>
  <si>
    <t>0308 - 2.3.2.02.02.005.00.00.00.4503022.24033 - 20</t>
  </si>
  <si>
    <t>Infraestructura educativa mejorada</t>
  </si>
  <si>
    <t xml:space="preserve">Sedes educativas mejoradas </t>
  </si>
  <si>
    <t>Mejoramiento y mantenimiento de las condiciones de la infraestructura educativa para la cobertura estudiantil en el departamento del Quindío</t>
  </si>
  <si>
    <t>INF-24-2026 Mejoramiento de la infraestructura educativa.</t>
  </si>
  <si>
    <t>0308 - 2.3.2.02.02.005.00.00.00.2201052.24036 - 04</t>
  </si>
  <si>
    <t>INF-25-2026 Interventoría integral para los contratos que se adelanten.</t>
  </si>
  <si>
    <t>0308 - 2.3.2.02.02.009.00.00.00.2201052.24036 - 04</t>
  </si>
  <si>
    <t>INF-26-2026 Suministro de materiales, elementos y equipos necesarios para la ejecución del proyecto</t>
  </si>
  <si>
    <t>0308 - 2.3.2.02.01.004.00.00.00.2201052.24036 - 04</t>
  </si>
  <si>
    <t>INF-27-2026 Servicio de transporte para el desplazamiento del personal y materiales a las obras físicas.</t>
  </si>
  <si>
    <t>0308 - 2.3.2.02.02.006.00.00.00.2201052.24036 - 20</t>
  </si>
  <si>
    <t>INF-28-2026 Acompañamiento Operativo, técnico, jurídico administrativo y financiero; profesional y de apoyo a la gestión en cumplimiento del proyecto</t>
  </si>
  <si>
    <t>INF-29-2026 Ejecucion de estrategias de comunicación, socializacion y publicidad asociadas a la ejecucion del proyecto</t>
  </si>
  <si>
    <t>0308 - 2.3.2.02.02.009.00.00.00.2201052.24036 - 20</t>
  </si>
  <si>
    <t>INF-30-2026 Acompañamiento Operativo, técnico, jurídico administrativo y financiero; profesional y de apoyo a la gestión en cumplimiento del proyecto</t>
  </si>
  <si>
    <t>INF-31-2026 Mantenimiento de la infraestructura educativa.</t>
  </si>
  <si>
    <t>0308 - 2.3.2.02.02.005.00.00.00.2201062.24036 - 04</t>
  </si>
  <si>
    <t>INF-32-2026 Interventoría integral para los contratos que se adelanten.</t>
  </si>
  <si>
    <t>0308 - 2.3.2.02.02.009.00.00.00.2201062.24036 - 04</t>
  </si>
  <si>
    <t>INF-33-2026 Suministro de materiales, elementos y equipos necesarios para la ejecución del proyecto</t>
  </si>
  <si>
    <t>0308 - 2.3.2.02.01.004.00.00.00.2201062.24036 - 04</t>
  </si>
  <si>
    <t>INF-34-2026 Servicio de transporte para el desplazamiento del personal y materiales a las obras físicas.</t>
  </si>
  <si>
    <t>0308 - 2.3.2.02.02.006.00.00.00.2201062.24036 - 20</t>
  </si>
  <si>
    <t>INF-35-2026 Acompañamiento Operativo, técnico, jurídico administrativo y financiero; profesional y de apoyo a la gestión en cumplimiento del proyecto</t>
  </si>
  <si>
    <t>INF-36-2026 Ejecucion de estrategias de comunicación, socializacion y publicidad asociadas a la ejecucion del proyecto</t>
  </si>
  <si>
    <t>0308 - 2.3.2.02.02.009.00.00.00.2201062.24036 - 20</t>
  </si>
  <si>
    <t>INF-37-2026 Acompañamiento Operativo, técnico, jurídico administrativo y financiero; profesional y de apoyo a la gestión en cumplimiento del proyecto</t>
  </si>
  <si>
    <t>Mejoramiento del índice de competitividad departamental por el estado de las vías terciarias en el departamento del Quindio</t>
  </si>
  <si>
    <t>INF-38-2026 Mejoramiento de la de vías</t>
  </si>
  <si>
    <t>0308 - 2.3.2.02.02.005.00.00.00.2402041.24039 – 20</t>
  </si>
  <si>
    <t>INF-39-2026 Acompañamiento Operativo, técnico, jurídico administrativo y financiero; profesional y de apoyo a la gestión en cumplimiento del proyecto.</t>
  </si>
  <si>
    <t>0308 - 2.3.2.02.02.009.00.00.00.2402041.24039 - 20</t>
  </si>
  <si>
    <t>INF-40-2026 Ejecucion de estrategias de comunicación, socializacion y publicidad asociadas a la ejecucion del proyecto</t>
  </si>
  <si>
    <t xml:space="preserve">INF-41-2026 Suministro de materiales, elementos y equipos necesarios para la ejecución del proyecto </t>
  </si>
  <si>
    <t>0308 - 2.3.2.02.01.004.00.00.00.2402041.24039 - 20</t>
  </si>
  <si>
    <t>Vía terciaria con mantenimiento periódico o rutinario</t>
  </si>
  <si>
    <t>Vía terciaria con mantenimiento</t>
  </si>
  <si>
    <t>INF-42-2026 Mantenimiento de la de vías.</t>
  </si>
  <si>
    <t>0308 - 2.3.2.02.02.005.00.00.00.2402112.24039 - 20</t>
  </si>
  <si>
    <t>INF-43-2026 Suministro de materiales, elementos y equipos necesarios para la ejecución del proyecto</t>
  </si>
  <si>
    <t>0308 - 2.3.2.02.01.004.00.00.00.2402112.24039 - 20</t>
  </si>
  <si>
    <t>INF-44-2026 Acompañamiento Operativo, técnico, jurídico administrativo y financiero; profesional y de apoyo a la gestión en cumplimiento del proyecto.</t>
  </si>
  <si>
    <t>0308 - 2.3.2.02.02.009.00.00.00.2402112.24039 - 20</t>
  </si>
  <si>
    <t>INF-45-2026 Ejecucion de estrategias de comunicación, socializacion y publicidad asociadas a la ejecucion del proyecto</t>
  </si>
  <si>
    <t>INF-46-2026 Suministro de combustible para la maquinaria pesada, vehículos y equipos menores.</t>
  </si>
  <si>
    <t>0308 - 2.3.2.02.01.003.00.00.00.2402112.24039 - 20</t>
  </si>
  <si>
    <t>INF-47-2026 Mantenimiento preventivo y correctivo, incluyendo repuestos e instalación para la maquinaria pesada del departamento</t>
  </si>
  <si>
    <t>0308 - 2.3.2.02.02.008.00.00.00.2402112.24039 - 20</t>
  </si>
  <si>
    <t>INF-48-2026 Servicio de Vigilancia en puntos aleatorios para el funcionamiento de la maquinaria amarilla y equipos del departamento</t>
  </si>
  <si>
    <t xml:space="preserve">INF-49-2026 Adquisición de maquinaria pesada, para el desarrollo de actividades en infraestructura Vial
</t>
  </si>
  <si>
    <t>0308 - 2.3.2.01.01.003.02.04.00.2402112.24039 - 20</t>
  </si>
  <si>
    <t>Centros de Atención Especializada - CAE para el restablecimiento de derechos adecuados</t>
  </si>
  <si>
    <t>Adecuación de la infraestructura locativa para la atención especializada a jóvenes y adolescentes sancionados en el departamento del Quindio</t>
  </si>
  <si>
    <t xml:space="preserve">INF-50-2026 Mantenimiento y mejoramiento de la infraestructura del CAE la primavera </t>
  </si>
  <si>
    <t>0308 - 2.3.2.02.02.005.00.00.00.4102027.24040 - 20</t>
  </si>
  <si>
    <t>Centros de protección social para el adulto mayor adecuados</t>
  </si>
  <si>
    <t>Fortalecimiento en la prestación del servicio de atención integral al adulto mayor  en el departamento del Quindío</t>
  </si>
  <si>
    <t>INF-51-2026 Centros de protección social para el adulto mayor adecuados</t>
  </si>
  <si>
    <t>0308 - 2.3.2.02.02.005.00.00.00.4104002.24042 - 20</t>
  </si>
  <si>
    <t>Servicio de mantenimiento de infraestructura cultural</t>
  </si>
  <si>
    <t>Infraestructura cultural intervenida</t>
  </si>
  <si>
    <t>Mantenimiento de la infraestructura cultural en el departamento del Quindio</t>
  </si>
  <si>
    <t>INF-52-2026 Mantenimiento de la infraestructura cultural en el departamento del Quindio</t>
  </si>
  <si>
    <t>0308 - 2.3.2.02.02.005.00.00.00.3301068.24127 - 20</t>
  </si>
  <si>
    <t>Construcción de obras para la estabilización de taludes en el departamento del Quindío.</t>
  </si>
  <si>
    <t>INF-53-2026 Construccion, Mantenimiento y/o mejoramiento de taludes de infraestructura vial.</t>
  </si>
  <si>
    <t>0308 - 2.3.2.02.02.005.00.00.00.3205010.24128 - 20</t>
  </si>
  <si>
    <t>Sedes adecuadas</t>
  </si>
  <si>
    <t>Mantenimiento de los edificios públicos que están a cargo de la administración departamental en el departamento del Quindío.</t>
  </si>
  <si>
    <t>INF-54-2026 Adecuacion de la infraestructura  institucional o de edificios públicos</t>
  </si>
  <si>
    <t>0308 - 2.3.2.02.02.005.00.00.00.4599011.24129 - 20</t>
  </si>
  <si>
    <t>INF-55-2026 Adecuacion de la infraestructura  institucional o de edificios públicos</t>
  </si>
  <si>
    <t>0308 - 2.3.2.02.02.005.00.00.00.4599011.24129 - 01</t>
  </si>
  <si>
    <t>INF-56-2026 Mantenimiento  de la infraestructura institucional o de edificios públicos</t>
  </si>
  <si>
    <t>0308 - 2.3.2.02.02.005.00.00.00.4599016.24129 - 01</t>
  </si>
  <si>
    <t>INF-57-2026 Suministro  de materiales, elementos y equipos para el mantenimiento de la infraestructura</t>
  </si>
  <si>
    <t>0308 - 2.3.2.02.01.004.00.00.00.4599016.24129 - 20</t>
  </si>
  <si>
    <t>INF-58-2026 Acompañamiento Operativo,técnico, jurídico administrativo y financiero; profesional y de apoyo a la gestión en cumplimiento del  proyecto.</t>
  </si>
  <si>
    <t>0308 - 2.3.2.02.02.009.00.00.00.4599016.24129 - 20</t>
  </si>
  <si>
    <t>Justicia y del derecho</t>
  </si>
  <si>
    <t>1202019</t>
  </si>
  <si>
    <t>Servicio de promoción del acceso a la justicia</t>
  </si>
  <si>
    <t>Estrategias de acceso a la justicia desarrolladas</t>
  </si>
  <si>
    <t>Mejoramiento a las instalaciones físicas para el acceso a la justicia de las comunidades y organizaciones en el departamento del Quindío.</t>
  </si>
  <si>
    <t>INF-59-2026  Mejoramiento a las instalaciones físicas para el acceso a la justicia de las comunidades y organizaciones en el departamento del Quindío.</t>
  </si>
  <si>
    <t>0308 - 2.3.2.02.02.005.00.00.00.1202019.24133 - 20</t>
  </si>
  <si>
    <t xml:space="preserve">Salón comunal adecuado </t>
  </si>
  <si>
    <t>Salones comunales adecuados</t>
  </si>
  <si>
    <t>Adecuación física de salones comunales para actividades de promoción e integración en el departamento del Quindío.</t>
  </si>
  <si>
    <t>INF-60-2026 Acompañamiento Operativo, técnico, jurídico administrativo y financiero; profesional y de apoyo a la gestión en cumplimiento del proyecto</t>
  </si>
  <si>
    <t>0308 - 2.3.2.02.02.009.00.00.00.4502003.24134 - 20</t>
  </si>
  <si>
    <t>INF-61-2026 Suministro de materiales, elementos y equipos necesarios para la ejecución del proyecto</t>
  </si>
  <si>
    <t>0308 - 2.3.2.02.01.004.00.00.00.4502003.24134 - 20</t>
  </si>
  <si>
    <t>Edificaciones de atención a la primera infancia adecuadas</t>
  </si>
  <si>
    <t>Adecuación De la infraestructura fisica de los centros de desarrollo infantil y comunitarios en el Departamento del  Quindio</t>
  </si>
  <si>
    <t xml:space="preserve">INF-62-2026 Adecuación de infraestructuras dirigidas  específicamente  a prestar Servicio de atención integral a la primera infancia.  </t>
  </si>
  <si>
    <t>0308 - 2.3.2.02.02.005.00.00.00.4102005.24135 - 20</t>
  </si>
  <si>
    <t>Hospitales de primer nivel de atencion adecuados</t>
  </si>
  <si>
    <t>Adecuación De la infraestructura hospitalaria en el departamento del  Quindio</t>
  </si>
  <si>
    <t>INF-63-2026 Suministro de materiales, elementos y equipos necesarios para la ejecución del proyecto</t>
  </si>
  <si>
    <t>0308 - 2.3.2.02.01.004.00.00.00.1906001.24136 - 20</t>
  </si>
  <si>
    <t>INF-64-2026 Acompañamiento Operativo, técnico, jurídico administrativo y financiero; profesional y de apoyo a la gestión en cumplimiento del proyecto</t>
  </si>
  <si>
    <t>0308 - 2.3.2.02.02.009.00.00.00.1906001.24136 - 20</t>
  </si>
  <si>
    <t>.Hospitales de segundo nivel de atencion adecuados</t>
  </si>
  <si>
    <t>Hospitales de segundo nivel de atencion adecuados</t>
  </si>
  <si>
    <t>INF-65-2026 Suministro de materiales, elementos y equipos necesarios para la ejecución del proyecto</t>
  </si>
  <si>
    <t>0308 - 2.3.2.02.01.004.00.00.00.1906008.24136 - 20</t>
  </si>
  <si>
    <t>INF-66-2026 Acompañamiento Operativo, técnico, jurídico administrativo y financiero; profesional y de apoyo a la gestión en cumplimiento del proyecto</t>
  </si>
  <si>
    <t>0308 - 2.3.2.02.02.009.00.00.00.1906008.24136 - 20</t>
  </si>
  <si>
    <t>4104009</t>
  </si>
  <si>
    <t>Centros de protección social de día para el adulto mayor adecuados</t>
  </si>
  <si>
    <t>Centros de día para el adulto mayor adecuados</t>
  </si>
  <si>
    <t>Adecuación de los centros de protección social de día para el adulto mayor en el Departamento del  Quindio</t>
  </si>
  <si>
    <t>INF-67-2026 Adecuacion de centros de proteccion social de dia para el adulto mayor</t>
  </si>
  <si>
    <t>0308 - 2.3.2.02.02.005.00.00.00.4104009.24137 - 20</t>
  </si>
  <si>
    <t>2402118</t>
  </si>
  <si>
    <t>Estudios de preinversión para la red vial regional</t>
  </si>
  <si>
    <t>Estudios de preinversión realizados</t>
  </si>
  <si>
    <t>Estudios y diseños y actualizacion del plan vial departamental, para el fortalecimiento de la red vial regional en el Departamento del  Quindio</t>
  </si>
  <si>
    <t>INF-68-2026 Realizar Estudios de preinversion (Estudios y diseños)</t>
  </si>
  <si>
    <t>0308 - 2.3.2.02.02.008.00.00.00.2402118.24138 - 20</t>
  </si>
  <si>
    <t>Obras de infraestructura para mitigación y atención a desastres</t>
  </si>
  <si>
    <t xml:space="preserve">Obras de infraestructura para mitigación y atención a desastres realizadas </t>
  </si>
  <si>
    <t>Implementación de obras para la reducción del nivel de riesgo de desastres naturales en el departamento del Quindío</t>
  </si>
  <si>
    <t>INF-69-2026 Realizar obras de infraestructura para la mitigacion y reduccion de los riesgos en las vias del departamento del Quindio</t>
  </si>
  <si>
    <t>0308 - 2.3.2.02.02.005.00.00.00.3205021.24139 - 20</t>
  </si>
  <si>
    <t>4001041</t>
  </si>
  <si>
    <t>Mejoramiento de vivienda en el departamento del Quindío</t>
  </si>
  <si>
    <t xml:space="preserve">INF-70-2026 Mejoramiento de Viviendas de Interés Prioritario </t>
  </si>
  <si>
    <t>0308 - 2.3.2.02.02.005.00.00.00.4001041.24140 - 04</t>
  </si>
  <si>
    <t>04</t>
  </si>
  <si>
    <t>4001044</t>
  </si>
  <si>
    <t>INF-71-2026 Mejoramiento de vivienda en el departamento del Quindío</t>
  </si>
  <si>
    <t>0308 - 2.3.2.02.02.005.00.00.00.4001044.24140  - 04</t>
  </si>
  <si>
    <t>Fortalecimiento de la infraestructura educativa para garantizar el acceso a una educación de calidad en el departamento del Quindio</t>
  </si>
  <si>
    <t>INF-72-2026 Estudios y diseños de infraestructura educativa elaborados</t>
  </si>
  <si>
    <t>0308 - 2.3.2.02.02.008.00.00.00.2201039.24141 - 20</t>
  </si>
  <si>
    <t>Fortalecimiento de la infraestructura deportiva para la formación y desarrollo competitivo de los deportistas en el departamento del Quindio</t>
  </si>
  <si>
    <t>INF-73-2026 Estudios y diseños de infraestructura recreativo-deportivo elaborados</t>
  </si>
  <si>
    <t>0308 - 2.3.2.02.02.008.00.00.00.4301031.24142 - 20</t>
  </si>
  <si>
    <t>Inclusión Social y Productiva  para la población en situacion de vulnerabilidad</t>
  </si>
  <si>
    <t>Centros comunitarios construidos</t>
  </si>
  <si>
    <t>Fortalecimiento de los índices de vulnerabilidad psicosocial a través de la construcción de infraestructura comunitaria para los jóvenes del departamento del Quindio</t>
  </si>
  <si>
    <t>INF-74-2026 Construccion de centro comunitario</t>
  </si>
  <si>
    <t>0308 - 2.3.2.02.02.005.00.00.00.4103025.24143 - 20</t>
  </si>
  <si>
    <t>INF-75-2026 Construccion de centro comunitario</t>
  </si>
  <si>
    <t>0308 - 2.3.2.02.02.005.00.00.00.4103025.24143 - 46</t>
  </si>
  <si>
    <t>Centros comunitarios adecuados</t>
  </si>
  <si>
    <t>INF-76-2026 Centros comunitarios adecuados</t>
  </si>
  <si>
    <t>0308 - 2.3.2.02.02.005.00.00.00.4103027.24143 - 20</t>
  </si>
  <si>
    <t>2402006</t>
  </si>
  <si>
    <t>Vía secundaria mejorada</t>
  </si>
  <si>
    <t>Mejoramiento de las vias secundarias que se encuentran a cargo del Departamento del  Quindio</t>
  </si>
  <si>
    <t>INF-77-2026 Mejoramiento De las vias secundarias en el  Departamento del Quindio</t>
  </si>
  <si>
    <t>0308 - 2.3.2.02.02.005.00.00.00.2402006.25869 - 20</t>
  </si>
  <si>
    <t>INF-78-2026 Acompañamiento Operativo, técnico, jurídico administrativo y financiero; en cumplimiento del proyecto.</t>
  </si>
  <si>
    <t>0308 - 2.3.2.02.02.009.00.00.00.2402006.25869 - 20</t>
  </si>
  <si>
    <t>Construcción y mejoramiento de unidades de vivienda para población vulnerable del departamento del Quindio</t>
  </si>
  <si>
    <t xml:space="preserve">INF-79-2026 Realizar mejoramiento de vivienda de interes prioritario en la zona rural del departamento del Quindío
</t>
  </si>
  <si>
    <t xml:space="preserve">0308 - 2.3.2.02.02.005.00.00.00.4001041.25651 - 46 </t>
  </si>
  <si>
    <t xml:space="preserve">INF-80-2026 Realizar mejoramiento de vivienda de interes prioritario en la zona urbana del departamento del Quindío
</t>
  </si>
  <si>
    <t>0308 - 2.3.2.02.02.005.00.00.00.4001041.25651 - 46</t>
  </si>
  <si>
    <t xml:space="preserve">INF-81-2026 Realizar mejoramiento de vivienda de interes social en la zona rural del departamento del Quindío
</t>
  </si>
  <si>
    <t xml:space="preserve">0308 - 2.3.2.02.02.005.00.00.00.4001044.25651 - 46 </t>
  </si>
  <si>
    <t>INF-82-2026 Realizar mejoramiento de vivienda de interes social en la zona urbana del departamento del Quindío</t>
  </si>
  <si>
    <t>0308 - 2.3.2.02.02.005.00.00.00.4001044.25651 - 46</t>
  </si>
  <si>
    <t>Vivienda de Interés prioritario construidas</t>
  </si>
  <si>
    <t>INF-83-2026 Construir viviendas para la población
vulnerable de la zona cordillerana del
departamento del Quindío</t>
  </si>
  <si>
    <t xml:space="preserve">0308 - 2.3.2.02.02.005.00.00.00.4001039.25651 - 46 </t>
  </si>
  <si>
    <t>INF-84-2026 Construir viviendas para la población
vulnerable de la zona sur del departamento del Quindío</t>
  </si>
  <si>
    <t xml:space="preserve">0308 - 2.3.2.02.02.005.00.00.00.4001039.25651 - 46  </t>
  </si>
  <si>
    <t>INF-85-2026 Construir viviendas para la población
vulnerable de la zona norte del departamento del Quindío</t>
  </si>
  <si>
    <t>0308 - 2.3.2.02.02.005.00.00.00.4001039.25651 - 46</t>
  </si>
  <si>
    <t>Canchas multifuncionales adecuadas</t>
  </si>
  <si>
    <t>Adecuacion de escenario deportivo para incentivar las actividades recreo - deportivas en el departamento del Quindío</t>
  </si>
  <si>
    <t>INF-86-2026 Adecuación de la cancha el
paraíso en la ciudad de armenia</t>
  </si>
  <si>
    <t>0308-2.3.2.02.02. 005.00.00.00.4301016.25648 - 20</t>
  </si>
  <si>
    <t>272744</t>
  </si>
  <si>
    <t>INF-87-2026 Adecuación de la cancha la
isabela en la ciudad de armenia</t>
  </si>
  <si>
    <t>Via secundaria Mejorada</t>
  </si>
  <si>
    <t>Mejoramiento y rehabilitación de vías secundarias en los municipios de Filandia y Montenegro en el departamento del Quindío”</t>
  </si>
  <si>
    <t>INF-88-2026 Mejoramiento de la vía Baraya – puerto samaria en el municipio de Montenegro.</t>
  </si>
  <si>
    <t>0308 - 2.3.2.02.02.005.00.00.00.2402006.25649  - 20</t>
  </si>
  <si>
    <t>27636</t>
  </si>
  <si>
    <t>25510</t>
  </si>
  <si>
    <t>53146</t>
  </si>
  <si>
    <t>INF-89-2026 Mejoramiento de la vía Filandia – cruces en el municipio de Filandia.</t>
  </si>
  <si>
    <t>VANESSA KATHERINE RINCON GAVIRIA</t>
  </si>
  <si>
    <t xml:space="preserve">SECRETARIA </t>
  </si>
  <si>
    <t>PRESUPUESTO  PLAN DE ACCIÓN 2026</t>
  </si>
  <si>
    <t>%</t>
  </si>
  <si>
    <t>No  PROYECTOS</t>
  </si>
  <si>
    <t>ADMINISTRATIVA</t>
  </si>
  <si>
    <t>HACIENDA</t>
  </si>
  <si>
    <t>PLANEACIÓN</t>
  </si>
  <si>
    <t>AGUAS E INFRAESTRUCTURA</t>
  </si>
  <si>
    <t>INTERIOR</t>
  </si>
  <si>
    <t>CULTURA</t>
  </si>
  <si>
    <t>AGRICULTURA DESARROLLO RURAL Y MEDIO AMBIENTE</t>
  </si>
  <si>
    <t>TURISMO</t>
  </si>
  <si>
    <t>PRIVADA</t>
  </si>
  <si>
    <t>FAMILIA</t>
  </si>
  <si>
    <t>SALUD</t>
  </si>
  <si>
    <t>SECRETARÍA TECNOLOGÍAS DE LA INFORMACIÓN Y LAS COMUNICACIONES</t>
  </si>
  <si>
    <t>TOTAL A.C.</t>
  </si>
  <si>
    <t>ENTIDADES DESCENTRALIZADAS</t>
  </si>
  <si>
    <t>PRESUPUESTO  PLAN DE ACCIÓN 2025</t>
  </si>
  <si>
    <t>I.D.T.Q</t>
  </si>
  <si>
    <t>INDEPORTES</t>
  </si>
  <si>
    <t>PROYECTA</t>
  </si>
  <si>
    <t>TOTAL E.D.</t>
  </si>
  <si>
    <t>TOTAL PLAN DE ACCION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</si>
</sst>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41" formatCode="_-* #,##0_-;\-* #,##0_-;_-* &quot;-&quot;_-;_-@_-"/>
    <numFmt numFmtId="43" formatCode="_-* #,##0.00_-;\-* #,##0.00_-;_-* &quot;-&quot;??_-;_-@_-"/>
    <numFmt numFmtId="164" formatCode="&quot;$&quot;\ #,##0;[Red]\-&quot;$&quot;\ #,##0"/>
    <numFmt numFmtId="165" formatCode="&quot;$&quot;\ #,##0.00;[Red]\-&quot;$&quot;\ #,##0.00"/>
    <numFmt numFmtId="166" formatCode="_-&quot;$&quot;\ * #,##0_-;\-&quot;$&quot;\ * #,##0_-;_-&quot;$&quot;\ * &quot;-&quot;_-;_-@_-"/>
    <numFmt numFmtId="167" formatCode="_-&quot;$&quot;\ * #,##0.00_-;\-&quot;$&quot;\ * #,##0.00_-;_-&quot;$&quot;\ * &quot;-&quot;??_-;_-@_-"/>
    <numFmt numFmtId="168" formatCode="&quot;$&quot;\ #,##0"/>
    <numFmt numFmtId="169" formatCode="_([$$-240A]\ * #,##0.00_);_([$$-240A]\ * \(#,##0.00\);_([$$-240A]\ * &quot;-&quot;??_);_(@_)"/>
    <numFmt numFmtId="170" formatCode="_(&quot;$&quot;\ * #,##0_);_(&quot;$&quot;\ * \(#,##0\);_(&quot;$&quot;\ * &quot;-&quot;_);_(@_)"/>
    <numFmt numFmtId="171" formatCode="_(&quot;$&quot;\ * #,##0.00_);_(&quot;$&quot;\ * \(#,##0.00\);_(&quot;$&quot;\ * &quot;-&quot;??_);_(@_)"/>
    <numFmt numFmtId="172" formatCode="&quot; &quot;[$$-240A]&quot; &quot;#,##0.00&quot; &quot;;&quot; &quot;[$$-240A]&quot; (&quot;#,##0.00&quot;)&quot;;&quot; &quot;[$$-240A]&quot; -&quot;00&quot; &quot;;&quot; &quot;@&quot; &quot;"/>
    <numFmt numFmtId="173" formatCode="_-&quot;$&quot;* #,##0.00_-;\-&quot;$&quot;* #,##0.00_-;_-&quot;$&quot;* &quot;-&quot;??_-;_-@_-"/>
    <numFmt numFmtId="174" formatCode="_-* #,##0.00\ _€_-;\-* #,##0.00\ _€_-;_-* &quot;-&quot;??\ _€_-;_-@_-"/>
    <numFmt numFmtId="175" formatCode="&quot; &quot;#,##0.00&quot; &quot;;&quot; (&quot;#,##0.00&quot;)&quot;;&quot; -&quot;00&quot; &quot;;&quot; &quot;@&quot; &quot;"/>
    <numFmt numFmtId="176" formatCode="&quot; &quot;#,##0.00&quot; &quot;;&quot;-&quot;#,##0.00&quot; &quot;;&quot; -&quot;00&quot; &quot;;&quot; &quot;@&quot; &quot;"/>
    <numFmt numFmtId="177" formatCode="&quot; &quot;&quot;$&quot;&quot; &quot;#,##0.00&quot; &quot;;&quot; &quot;&quot;$&quot;&quot; (&quot;#,##0.00&quot;)&quot;;&quot; &quot;&quot;$&quot;&quot; -&quot;00&quot; &quot;;&quot; &quot;@&quot; &quot;"/>
    <numFmt numFmtId="178" formatCode="&quot; &quot;&quot;$&quot;&quot; &quot;#,##0.00&quot; &quot;;&quot;-&quot;&quot;$&quot;&quot; &quot;#,##0.00&quot; &quot;;&quot; &quot;&quot;$&quot;&quot; -&quot;00&quot; &quot;;&quot; &quot;@&quot; &quot;"/>
    <numFmt numFmtId="179" formatCode="00"/>
    <numFmt numFmtId="180" formatCode="000"/>
    <numFmt numFmtId="181" formatCode="_(&quot;$&quot;\ * #,##0.00_);_(&quot;$&quot;\ * \(#,##0.00\);_(&quot;$&quot;\ * &quot;-&quot;_);_(@_)"/>
    <numFmt numFmtId="182" formatCode="_-&quot;$&quot;\ * #,##0.00_-;\-&quot;$&quot;\ * #,##0.00_-;_-&quot;$&quot;\ * &quot;-&quot;_-;_-@_-"/>
    <numFmt numFmtId="183" formatCode="_-&quot;$&quot;\ * #,##0.0_-;\-&quot;$&quot;\ * #,##0.0_-;_-&quot;$&quot;\ * &quot;-&quot;_-;_-@_-"/>
    <numFmt numFmtId="184" formatCode="&quot;$&quot;\ #,##0.00"/>
    <numFmt numFmtId="185" formatCode="_-[$$-240A]\ * #,##0.00_-;\-[$$-240A]\ * #,##0.00_-;_-[$$-240A]\ * &quot;-&quot;??_-;_-@_-"/>
    <numFmt numFmtId="186" formatCode="_-[$$-409]* #,##0.00_ ;_-[$$-409]* \-#,##0.00\ ;_-[$$-409]* &quot;-&quot;??_ ;_-@_ "/>
    <numFmt numFmtId="187" formatCode="0.0"/>
    <numFmt numFmtId="188" formatCode="_-* #,##0_-;\-* #,##0_-;_-* &quot;-&quot;??_-;_-@_-"/>
    <numFmt numFmtId="189" formatCode="0.000"/>
    <numFmt numFmtId="190" formatCode="_-[$$-240A]\ * #,##0_-;\-[$$-240A]\ * #,##0_-;_-[$$-240A]\ * &quot;-&quot;??_-;_-@_-"/>
    <numFmt numFmtId="191" formatCode="_-&quot;$&quot;\ * #,##0.0000_-;\-&quot;$&quot;\ * #,##0.0000_-;_-&quot;$&quot;\ * &quot;-&quot;??_-;_-@_-"/>
    <numFmt numFmtId="192" formatCode="0.0000"/>
    <numFmt numFmtId="193" formatCode="&quot;$&quot;\ #,##0.0000"/>
    <numFmt numFmtId="194" formatCode="&quot;$&quot;\ #,##0.000"/>
  </numFmts>
  <fonts count="57">
    <font>
      <sz val="11"/>
      <color theme="1"/>
      <name val="Calibri"/>
      <family val="2"/>
      <scheme val="minor"/>
    </font>
    <font>
      <b/>
      <sz val="11"/>
      <color theme="1"/>
      <name val="Calibri"/>
      <family val="2"/>
      <scheme val="minor"/>
    </font>
    <font>
      <b/>
      <sz val="10"/>
      <color theme="1"/>
      <name val="Arial"/>
      <family val="2"/>
    </font>
    <font>
      <sz val="10"/>
      <color theme="1"/>
      <name val="Arial"/>
      <family val="2"/>
    </font>
    <font>
      <b/>
      <sz val="10"/>
      <color rgb="FF000000"/>
      <name val="Arial"/>
      <family val="2"/>
    </font>
    <font>
      <sz val="11"/>
      <color theme="1"/>
      <name val="Arial"/>
      <family val="2"/>
    </font>
    <font>
      <b/>
      <sz val="11"/>
      <color theme="1"/>
      <name val="Arial"/>
      <family val="2"/>
    </font>
    <font>
      <sz val="10"/>
      <color rgb="FF000000"/>
      <name val="Arial"/>
      <family val="2"/>
    </font>
    <font>
      <sz val="11"/>
      <color rgb="FFFF0000"/>
      <name val="Arial"/>
      <family val="2"/>
    </font>
    <font>
      <i/>
      <sz val="9"/>
      <color theme="1"/>
      <name val="Calibri"/>
      <family val="2"/>
      <scheme val="minor"/>
    </font>
    <font>
      <b/>
      <sz val="10"/>
      <color theme="1"/>
      <name val="Calibri"/>
      <family val="2"/>
      <scheme val="minor"/>
    </font>
    <font>
      <sz val="11"/>
      <color theme="1"/>
      <name val="Calibri"/>
      <family val="2"/>
      <scheme val="minor"/>
    </font>
    <font>
      <sz val="10"/>
      <name val="Arial"/>
      <family val="2"/>
    </font>
    <font>
      <sz val="12"/>
      <color theme="1"/>
      <name val="Arial"/>
      <family val="2"/>
    </font>
    <font>
      <b/>
      <sz val="11"/>
      <color rgb="FF6F6F6E"/>
      <name val="Calibri"/>
      <family val="2"/>
      <scheme val="minor"/>
    </font>
    <font>
      <sz val="11"/>
      <name val="Calibri"/>
      <family val="2"/>
      <scheme val="minor"/>
    </font>
    <font>
      <sz val="11"/>
      <color rgb="FF000000"/>
      <name val="Arial"/>
      <family val="2"/>
    </font>
    <font>
      <sz val="11"/>
      <color rgb="FF9C5700"/>
      <name val="Calibri"/>
      <family val="2"/>
      <scheme val="minor"/>
    </font>
    <font>
      <sz val="11"/>
      <color rgb="FF000000"/>
      <name val="Calibri"/>
      <family val="2"/>
    </font>
    <font>
      <sz val="10"/>
      <color indexed="8"/>
      <name val="MS Sans Serif"/>
      <family val="2"/>
    </font>
    <font>
      <sz val="10"/>
      <name val="Arial Narrow"/>
      <family val="2"/>
    </font>
    <font>
      <sz val="10"/>
      <name val="Arial"/>
      <family val="2"/>
      <charset val="1"/>
    </font>
    <font>
      <sz val="11"/>
      <color rgb="FF9C0006"/>
      <name val="Calibri"/>
      <family val="2"/>
    </font>
    <font>
      <b/>
      <sz val="11"/>
      <color rgb="FFFFFFFF"/>
      <name val="Calibri"/>
      <family val="2"/>
    </font>
    <font>
      <b/>
      <sz val="11"/>
      <color rgb="FF6F6F6E"/>
      <name val="Calibri"/>
      <family val="2"/>
    </font>
    <font>
      <sz val="11"/>
      <color rgb="FF9C6500"/>
      <name val="Calibri"/>
      <family val="2"/>
      <scheme val="minor"/>
    </font>
    <font>
      <sz val="12"/>
      <color theme="1"/>
      <name val="Calibri"/>
      <family val="2"/>
      <scheme val="minor"/>
    </font>
    <font>
      <b/>
      <sz val="12"/>
      <color theme="1"/>
      <name val="Arial"/>
      <family val="2"/>
    </font>
    <font>
      <sz val="11"/>
      <name val="Arial"/>
      <family val="2"/>
    </font>
    <font>
      <b/>
      <sz val="12"/>
      <color theme="1"/>
      <name val="Century Gothic"/>
      <family val="2"/>
    </font>
    <font>
      <sz val="10"/>
      <name val="Century Gothic"/>
      <family val="2"/>
    </font>
    <font>
      <b/>
      <sz val="10"/>
      <color rgb="FF000000"/>
      <name val="Century Gothic"/>
      <family val="2"/>
    </font>
    <font>
      <sz val="10"/>
      <color rgb="FF000000"/>
      <name val="Century Gothic"/>
      <family val="2"/>
    </font>
    <font>
      <sz val="10"/>
      <color theme="1"/>
      <name val="Century Gothic"/>
      <family val="2"/>
    </font>
    <font>
      <b/>
      <sz val="14"/>
      <color theme="1"/>
      <name val="Century Gothic"/>
      <family val="2"/>
    </font>
    <font>
      <sz val="11"/>
      <color rgb="FF000000"/>
      <name val="Calibri"/>
      <family val="2"/>
      <scheme val="minor"/>
    </font>
    <font>
      <sz val="9"/>
      <color theme="1"/>
      <name val="Arial"/>
      <family val="2"/>
    </font>
    <font>
      <sz val="10"/>
      <color theme="1"/>
      <name val="Calibri"/>
      <family val="2"/>
      <scheme val="minor"/>
    </font>
    <font>
      <sz val="9"/>
      <name val="Arial"/>
      <family val="2"/>
    </font>
    <font>
      <b/>
      <sz val="9"/>
      <color indexed="81"/>
      <name val="Tahoma"/>
      <family val="2"/>
    </font>
    <font>
      <sz val="9"/>
      <color indexed="81"/>
      <name val="Tahoma"/>
      <family val="2"/>
    </font>
    <font>
      <sz val="11"/>
      <color rgb="FFFF0000"/>
      <name val="Calibri"/>
      <family val="2"/>
      <scheme val="minor"/>
    </font>
    <font>
      <sz val="11"/>
      <color rgb="FF333333"/>
      <name val="Calibri"/>
      <family val="2"/>
      <scheme val="minor"/>
    </font>
    <font>
      <sz val="11"/>
      <color theme="1"/>
      <name val="Calibri"/>
      <family val="2"/>
    </font>
    <font>
      <sz val="12"/>
      <color rgb="FF000000"/>
      <name val="Calibri"/>
      <family val="2"/>
      <scheme val="minor"/>
    </font>
    <font>
      <b/>
      <sz val="11"/>
      <color rgb="FF000000"/>
      <name val="Calibri"/>
      <family val="2"/>
      <scheme val="minor"/>
    </font>
    <font>
      <i/>
      <sz val="11"/>
      <color theme="1"/>
      <name val="Calibri"/>
      <family val="2"/>
      <scheme val="minor"/>
    </font>
    <font>
      <b/>
      <sz val="10"/>
      <name val="Arial"/>
      <family val="2"/>
    </font>
    <font>
      <sz val="10"/>
      <color rgb="FFFF0000"/>
      <name val="Arial"/>
      <family val="2"/>
    </font>
    <font>
      <i/>
      <sz val="10"/>
      <color theme="1"/>
      <name val="Arial"/>
      <family val="2"/>
    </font>
    <font>
      <sz val="8"/>
      <color theme="1"/>
      <name val="Calibri"/>
      <family val="2"/>
      <scheme val="minor"/>
    </font>
    <font>
      <b/>
      <sz val="8"/>
      <color theme="1"/>
      <name val="Calibri"/>
      <family val="2"/>
      <scheme val="minor"/>
    </font>
    <font>
      <sz val="8"/>
      <color theme="1"/>
      <name val="Arial Narrow"/>
      <family val="2"/>
    </font>
    <font>
      <b/>
      <sz val="8"/>
      <color theme="1"/>
      <name val="Arial Narrow"/>
      <family val="2"/>
    </font>
    <font>
      <sz val="8"/>
      <color theme="1"/>
      <name val="Calibri"/>
      <family val="2"/>
    </font>
    <font>
      <b/>
      <sz val="8"/>
      <color theme="1"/>
      <name val="Calibri"/>
      <family val="2"/>
    </font>
    <font>
      <sz val="10"/>
      <color rgb="FF000000"/>
      <name val="Arial"/>
    </font>
  </fonts>
  <fills count="59">
    <fill>
      <patternFill patternType="none"/>
    </fill>
    <fill>
      <patternFill patternType="gray125"/>
    </fill>
    <fill>
      <patternFill patternType="solid">
        <fgColor theme="0"/>
        <bgColor theme="0"/>
      </patternFill>
    </fill>
    <fill>
      <patternFill patternType="solid">
        <fgColor rgb="FFB4C6E7"/>
        <bgColor rgb="FFB4C6E7"/>
      </patternFill>
    </fill>
    <fill>
      <patternFill patternType="solid">
        <fgColor theme="8" tint="0.59999389629810485"/>
        <bgColor indexed="64"/>
      </patternFill>
    </fill>
    <fill>
      <patternFill patternType="solid">
        <fgColor theme="3" tint="0.39997558519241921"/>
        <bgColor indexed="64"/>
      </patternFill>
    </fill>
    <fill>
      <patternFill patternType="solid">
        <fgColor rgb="FFDADADA"/>
        <bgColor rgb="FFDADADA"/>
      </patternFill>
    </fill>
    <fill>
      <patternFill patternType="solid">
        <fgColor theme="8" tint="0.39997558519241921"/>
        <bgColor indexed="64"/>
      </patternFill>
    </fill>
    <fill>
      <patternFill patternType="solid">
        <fgColor rgb="FFECECEC"/>
        <bgColor indexed="64"/>
      </patternFill>
    </fill>
    <fill>
      <patternFill patternType="solid">
        <fgColor theme="0"/>
        <bgColor indexed="64"/>
      </patternFill>
    </fill>
    <fill>
      <patternFill patternType="solid">
        <fgColor rgb="FFFFEB9C"/>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249977111117893"/>
        <bgColor indexed="64"/>
      </patternFill>
    </fill>
    <fill>
      <patternFill patternType="solid">
        <fgColor rgb="FFEAEFF2"/>
        <bgColor rgb="FFEAEFF2"/>
      </patternFill>
    </fill>
    <fill>
      <patternFill patternType="solid">
        <fgColor rgb="FFFFC7CE"/>
        <bgColor rgb="FFFFC7CE"/>
      </patternFill>
    </fill>
    <fill>
      <patternFill patternType="solid">
        <fgColor rgb="FFD5DFE4"/>
        <bgColor rgb="FFD5DFE4"/>
      </patternFill>
    </fill>
    <fill>
      <patternFill patternType="solid">
        <fgColor rgb="FFC0CFD7"/>
        <bgColor rgb="FFC0CFD7"/>
      </patternFill>
    </fill>
    <fill>
      <patternFill patternType="solid">
        <fgColor rgb="FF96B5C6"/>
        <bgColor rgb="FF96B5C6"/>
      </patternFill>
    </fill>
    <fill>
      <patternFill patternType="solid">
        <fgColor rgb="FF8CABBB"/>
        <bgColor rgb="FF8CABBB"/>
      </patternFill>
    </fill>
    <fill>
      <patternFill patternType="solid">
        <fgColor rgb="FF82A1B1"/>
        <bgColor rgb="FF82A1B1"/>
      </patternFill>
    </fill>
    <fill>
      <patternFill patternType="solid">
        <fgColor rgb="FF7897A7"/>
        <bgColor rgb="FF7897A7"/>
      </patternFill>
    </fill>
    <fill>
      <patternFill patternType="solid">
        <fgColor rgb="FF6F8D9D"/>
        <bgColor rgb="FF6F8D9D"/>
      </patternFill>
    </fill>
    <fill>
      <patternFill patternType="solid">
        <fgColor rgb="FF658393"/>
        <bgColor rgb="FF658393"/>
      </patternFill>
    </fill>
    <fill>
      <patternFill patternType="solid">
        <fgColor rgb="FFECECEC"/>
        <bgColor rgb="FFECECEC"/>
      </patternFill>
    </fill>
    <fill>
      <patternFill patternType="solid">
        <fgColor theme="3" tint="0.79998168889431442"/>
        <bgColor rgb="FFDADADA"/>
      </patternFill>
    </fill>
    <fill>
      <patternFill patternType="solid">
        <fgColor theme="0"/>
        <bgColor rgb="FFDADADA"/>
      </patternFill>
    </fill>
    <fill>
      <patternFill patternType="solid">
        <fgColor rgb="FFFFFFFF"/>
        <bgColor indexed="64"/>
      </patternFill>
    </fill>
    <fill>
      <patternFill patternType="solid">
        <fgColor rgb="FFFFFF00"/>
        <bgColor indexed="64"/>
      </patternFill>
    </fill>
    <fill>
      <patternFill patternType="solid">
        <fgColor rgb="FFFFFF00"/>
        <bgColor rgb="FFDADADA"/>
      </patternFill>
    </fill>
    <fill>
      <patternFill patternType="solid">
        <fgColor theme="0"/>
        <bgColor rgb="FFB4C6E7"/>
      </patternFill>
    </fill>
    <fill>
      <patternFill patternType="solid">
        <fgColor theme="5" tint="0.59999389629810485"/>
        <bgColor indexed="64"/>
      </patternFill>
    </fill>
    <fill>
      <patternFill patternType="solid">
        <fgColor theme="3" tint="0.39994506668294322"/>
        <bgColor indexed="64"/>
      </patternFill>
    </fill>
    <fill>
      <patternFill patternType="solid">
        <fgColor theme="0"/>
        <bgColor rgb="FF000000"/>
      </patternFill>
    </fill>
    <fill>
      <patternFill patternType="solid">
        <fgColor theme="8" tint="0.39994506668294322"/>
        <bgColor indexed="64"/>
      </patternFill>
    </fill>
    <fill>
      <patternFill patternType="solid">
        <fgColor rgb="FFC6E0B4"/>
        <bgColor rgb="FF000000"/>
      </patternFill>
    </fill>
    <fill>
      <patternFill patternType="solid">
        <fgColor rgb="FFFFD966"/>
        <bgColor rgb="FF000000"/>
      </patternFill>
    </fill>
    <fill>
      <patternFill patternType="solid">
        <fgColor theme="9" tint="0.79998168889431442"/>
        <bgColor indexed="64"/>
      </patternFill>
    </fill>
    <fill>
      <patternFill patternType="solid">
        <fgColor rgb="FF92D05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4" tint="0.59999389629810485"/>
        <bgColor indexed="64"/>
      </patternFill>
    </fill>
  </fills>
  <borders count="4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522B57"/>
      </left>
      <right style="thin">
        <color rgb="FF522B57"/>
      </right>
      <top style="thin">
        <color rgb="FF522B57"/>
      </top>
      <bottom style="thin">
        <color rgb="FF522B57"/>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n">
        <color rgb="FF000000"/>
      </left>
      <right style="thin">
        <color rgb="FF000000"/>
      </right>
      <top/>
      <bottom style="thin">
        <color rgb="FF000000"/>
      </bottom>
      <diagonal/>
    </border>
    <border>
      <left/>
      <right/>
      <top/>
      <bottom style="medium">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indexed="64"/>
      </left>
      <right style="medium">
        <color indexed="64"/>
      </right>
      <top/>
      <bottom style="medium">
        <color indexed="64"/>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indexed="64"/>
      </left>
      <right style="thin">
        <color indexed="64"/>
      </right>
      <top style="thin">
        <color indexed="64"/>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indexed="64"/>
      </right>
      <top style="thin">
        <color indexed="64"/>
      </top>
      <bottom style="thin">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bottom/>
      <diagonal/>
    </border>
    <border>
      <left/>
      <right style="thin">
        <color indexed="64"/>
      </right>
      <top style="thin">
        <color rgb="FF000000"/>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rgb="FF000000"/>
      </bottom>
      <diagonal/>
    </border>
    <border>
      <left style="thin">
        <color auto="1"/>
      </left>
      <right style="thin">
        <color auto="1"/>
      </right>
      <top style="medium">
        <color auto="1"/>
      </top>
      <bottom/>
      <diagonal/>
    </border>
    <border>
      <left style="medium">
        <color auto="1"/>
      </left>
      <right style="thin">
        <color auto="1"/>
      </right>
      <top/>
      <bottom style="thin">
        <color auto="1"/>
      </bottom>
      <diagonal/>
    </border>
    <border>
      <left style="thin">
        <color rgb="FF000000"/>
      </left>
      <right/>
      <top style="thin">
        <color rgb="FF000000"/>
      </top>
      <bottom/>
      <diagonal/>
    </border>
    <border>
      <left style="thin">
        <color indexed="64"/>
      </left>
      <right style="thin">
        <color rgb="FF000000"/>
      </right>
      <top style="thin">
        <color indexed="64"/>
      </top>
      <bottom/>
      <diagonal/>
    </border>
    <border>
      <left style="thin">
        <color rgb="FF000000"/>
      </left>
      <right style="thin">
        <color indexed="64"/>
      </right>
      <top style="thin">
        <color indexed="64"/>
      </top>
      <bottom/>
      <diagonal/>
    </border>
    <border>
      <left style="thin">
        <color theme="1" tint="0.499984740745262"/>
      </left>
      <right style="thin">
        <color theme="1" tint="0.499984740745262"/>
      </right>
      <top style="thin">
        <color theme="1" tint="0.499984740745262"/>
      </top>
      <bottom style="thin">
        <color theme="1" tint="0.499984740745262"/>
      </bottom>
      <diagonal/>
    </border>
  </borders>
  <cellStyleXfs count="377">
    <xf numFmtId="0" fontId="0" fillId="0" borderId="0"/>
    <xf numFmtId="0" fontId="5" fillId="0" borderId="0"/>
    <xf numFmtId="0" fontId="11" fillId="0" borderId="0"/>
    <xf numFmtId="169" fontId="14" fillId="8" borderId="18">
      <alignment horizontal="center" vertical="center" wrapText="1"/>
    </xf>
    <xf numFmtId="171" fontId="11" fillId="0" borderId="0" applyFont="0" applyFill="0" applyBorder="0" applyAlignment="0" applyProtection="0"/>
    <xf numFmtId="43" fontId="11" fillId="0" borderId="0" applyFont="0" applyFill="0" applyBorder="0" applyAlignment="0" applyProtection="0"/>
    <xf numFmtId="171" fontId="11" fillId="0" borderId="0" applyFont="0" applyFill="0" applyBorder="0" applyAlignment="0" applyProtection="0"/>
    <xf numFmtId="170" fontId="11" fillId="0" borderId="0" applyFont="0" applyFill="0" applyBorder="0" applyAlignment="0" applyProtection="0"/>
    <xf numFmtId="43" fontId="11" fillId="0" borderId="0" applyFont="0" applyFill="0" applyBorder="0" applyAlignment="0" applyProtection="0"/>
    <xf numFmtId="0" fontId="11" fillId="0" borderId="0"/>
    <xf numFmtId="173" fontId="11" fillId="0" borderId="0" applyFont="0" applyFill="0" applyBorder="0" applyAlignment="0" applyProtection="0"/>
    <xf numFmtId="0" fontId="5" fillId="0" borderId="0"/>
    <xf numFmtId="0" fontId="11" fillId="0" borderId="0"/>
    <xf numFmtId="0" fontId="11" fillId="0" borderId="0"/>
    <xf numFmtId="0" fontId="12" fillId="0" borderId="0"/>
    <xf numFmtId="0" fontId="12" fillId="0" borderId="0"/>
    <xf numFmtId="0" fontId="12" fillId="0" borderId="0"/>
    <xf numFmtId="167" fontId="12" fillId="0" borderId="0" applyFont="0" applyFill="0" applyBorder="0" applyAlignment="0" applyProtection="0"/>
    <xf numFmtId="166" fontId="12" fillId="0" borderId="0" applyFont="0" applyFill="0" applyBorder="0" applyAlignment="0" applyProtection="0"/>
    <xf numFmtId="0" fontId="11" fillId="0" borderId="0"/>
    <xf numFmtId="174" fontId="11" fillId="0" borderId="0" applyFont="0" applyFill="0" applyBorder="0" applyAlignment="0" applyProtection="0"/>
    <xf numFmtId="9" fontId="11" fillId="0" borderId="0" applyFont="0" applyFill="0" applyBorder="0" applyAlignment="0" applyProtection="0"/>
    <xf numFmtId="0" fontId="11" fillId="0" borderId="0"/>
    <xf numFmtId="43"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0" fontId="14" fillId="8" borderId="18">
      <alignment horizontal="center" vertical="center" wrapText="1"/>
    </xf>
    <xf numFmtId="0" fontId="12" fillId="0" borderId="0"/>
    <xf numFmtId="167" fontId="12" fillId="0" borderId="0" applyFont="0" applyFill="0" applyBorder="0" applyAlignment="0" applyProtection="0"/>
    <xf numFmtId="167" fontId="12" fillId="0" borderId="0" applyFont="0" applyFill="0" applyBorder="0" applyAlignment="0" applyProtection="0"/>
    <xf numFmtId="0" fontId="11" fillId="0" borderId="0"/>
    <xf numFmtId="167" fontId="11"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0" fontId="1" fillId="0" borderId="21" applyNumberFormat="0" applyFill="0" applyAlignment="0" applyProtection="0"/>
    <xf numFmtId="43" fontId="11" fillId="0" borderId="0" applyFont="0" applyFill="0" applyBorder="0" applyAlignment="0" applyProtection="0"/>
    <xf numFmtId="166" fontId="11" fillId="0" borderId="0" applyFont="0" applyFill="0" applyBorder="0" applyAlignment="0" applyProtection="0"/>
    <xf numFmtId="0" fontId="11" fillId="0" borderId="0"/>
    <xf numFmtId="0" fontId="12" fillId="0" borderId="0"/>
    <xf numFmtId="167" fontId="12" fillId="0" borderId="0" applyFont="0" applyFill="0" applyBorder="0" applyAlignment="0" applyProtection="0"/>
    <xf numFmtId="167" fontId="12" fillId="0" borderId="0" applyFont="0" applyFill="0" applyBorder="0" applyAlignment="0" applyProtection="0"/>
    <xf numFmtId="166" fontId="12" fillId="0" borderId="0" applyFont="0" applyFill="0" applyBorder="0" applyAlignment="0" applyProtection="0"/>
    <xf numFmtId="9" fontId="12" fillId="0" borderId="0" applyFont="0" applyFill="0" applyBorder="0" applyAlignment="0" applyProtection="0"/>
    <xf numFmtId="167" fontId="12" fillId="0" borderId="0" applyFont="0" applyFill="0" applyBorder="0" applyAlignment="0" applyProtection="0"/>
    <xf numFmtId="166" fontId="12" fillId="0" borderId="0" applyFont="0" applyFill="0" applyBorder="0" applyAlignment="0" applyProtection="0"/>
    <xf numFmtId="167" fontId="11" fillId="0" borderId="0" applyFont="0" applyFill="0" applyBorder="0" applyAlignment="0" applyProtection="0"/>
    <xf numFmtId="167" fontId="12" fillId="0" borderId="0" applyFont="0" applyFill="0" applyBorder="0" applyAlignment="0" applyProtection="0"/>
    <xf numFmtId="166" fontId="12" fillId="0" borderId="0" applyFont="0" applyFill="0" applyBorder="0" applyAlignment="0" applyProtection="0"/>
    <xf numFmtId="167" fontId="11" fillId="0" borderId="0" applyFont="0" applyFill="0" applyBorder="0" applyAlignment="0" applyProtection="0"/>
    <xf numFmtId="0" fontId="5" fillId="0" borderId="0"/>
    <xf numFmtId="167" fontId="11" fillId="0" borderId="0" applyFont="0" applyFill="0" applyBorder="0" applyAlignment="0" applyProtection="0"/>
    <xf numFmtId="167" fontId="11" fillId="0" borderId="0" applyFont="0" applyFill="0" applyBorder="0" applyAlignment="0" applyProtection="0"/>
    <xf numFmtId="167" fontId="12"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0" fontId="11" fillId="0" borderId="0"/>
    <xf numFmtId="167" fontId="12" fillId="0" borderId="0" applyFont="0" applyFill="0" applyBorder="0" applyAlignment="0" applyProtection="0"/>
    <xf numFmtId="167" fontId="12" fillId="0" borderId="0" applyFont="0" applyFill="0" applyBorder="0" applyAlignment="0" applyProtection="0"/>
    <xf numFmtId="166" fontId="11" fillId="0" borderId="0" applyFont="0" applyFill="0" applyBorder="0" applyAlignment="0" applyProtection="0"/>
    <xf numFmtId="167" fontId="11" fillId="0" borderId="0" applyFont="0" applyFill="0" applyBorder="0" applyAlignment="0" applyProtection="0"/>
    <xf numFmtId="167" fontId="12" fillId="0" borderId="0" applyFont="0" applyFill="0" applyBorder="0" applyAlignment="0" applyProtection="0"/>
    <xf numFmtId="167" fontId="11" fillId="0" borderId="0" applyFont="0" applyFill="0" applyBorder="0" applyAlignment="0" applyProtection="0"/>
    <xf numFmtId="0" fontId="11" fillId="0" borderId="0"/>
    <xf numFmtId="166" fontId="12"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6"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0" fontId="11" fillId="0" borderId="0"/>
    <xf numFmtId="166" fontId="11" fillId="0" borderId="0" applyFont="0" applyFill="0" applyBorder="0" applyAlignment="0" applyProtection="0"/>
    <xf numFmtId="166" fontId="12" fillId="0" borderId="0" applyFont="0" applyFill="0" applyBorder="0" applyAlignment="0" applyProtection="0"/>
    <xf numFmtId="167" fontId="12" fillId="0" borderId="0" applyFont="0" applyFill="0" applyBorder="0" applyAlignment="0" applyProtection="0"/>
    <xf numFmtId="166" fontId="12"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2" fillId="0" borderId="0" applyFont="0" applyFill="0" applyBorder="0" applyAlignment="0" applyProtection="0"/>
    <xf numFmtId="167" fontId="11" fillId="0" borderId="0" applyFont="0" applyFill="0" applyBorder="0" applyAlignment="0" applyProtection="0"/>
    <xf numFmtId="172" fontId="18" fillId="0" borderId="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4" borderId="0" applyNumberFormat="0" applyBorder="0" applyAlignment="0" applyProtection="0"/>
    <xf numFmtId="0" fontId="11" fillId="24" borderId="0" applyNumberFormat="0" applyBorder="0" applyAlignment="0" applyProtection="0"/>
    <xf numFmtId="0" fontId="11" fillId="24" borderId="0" applyNumberFormat="0" applyBorder="0" applyAlignment="0" applyProtection="0"/>
    <xf numFmtId="0" fontId="11" fillId="24" borderId="0" applyNumberFormat="0" applyBorder="0" applyAlignment="0" applyProtection="0"/>
    <xf numFmtId="0" fontId="11" fillId="24"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28" borderId="0" applyNumberFormat="0" applyBorder="0" applyAlignment="0" applyProtection="0"/>
    <xf numFmtId="0" fontId="11" fillId="28" borderId="0" applyNumberFormat="0" applyBorder="0" applyAlignment="0" applyProtection="0"/>
    <xf numFmtId="0" fontId="11" fillId="28" borderId="0" applyNumberFormat="0" applyBorder="0" applyAlignment="0" applyProtection="0"/>
    <xf numFmtId="0" fontId="11" fillId="28" borderId="0" applyNumberFormat="0" applyBorder="0" applyAlignment="0" applyProtection="0"/>
    <xf numFmtId="0" fontId="11" fillId="28"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172" fontId="18" fillId="31" borderId="0" applyNumberFormat="0" applyFont="0" applyBorder="0" applyAlignment="0" applyProtection="0"/>
    <xf numFmtId="172" fontId="22" fillId="32" borderId="0" applyNumberFormat="0" applyBorder="0" applyAlignment="0" applyProtection="0"/>
    <xf numFmtId="172" fontId="18" fillId="33" borderId="0" applyNumberFormat="0" applyFont="0" applyBorder="0" applyAlignment="0" applyProtection="0"/>
    <xf numFmtId="172" fontId="18" fillId="34" borderId="0" applyNumberFormat="0" applyFont="0" applyBorder="0" applyAlignment="0" applyProtection="0"/>
    <xf numFmtId="172" fontId="23" fillId="35" borderId="0" applyNumberFormat="0" applyBorder="0" applyAlignment="0" applyProtection="0"/>
    <xf numFmtId="172" fontId="23" fillId="36" borderId="0" applyNumberFormat="0" applyBorder="0" applyAlignment="0" applyProtection="0"/>
    <xf numFmtId="172" fontId="23" fillId="37" borderId="0" applyNumberFormat="0" applyBorder="0" applyAlignment="0" applyProtection="0"/>
    <xf numFmtId="172" fontId="23" fillId="38" borderId="0" applyNumberFormat="0" applyBorder="0" applyAlignment="0" applyProtection="0"/>
    <xf numFmtId="172" fontId="23" fillId="39" borderId="0" applyNumberFormat="0" applyBorder="0" applyAlignment="0" applyProtection="0"/>
    <xf numFmtId="172" fontId="23" fillId="40" borderId="0" applyNumberFormat="0" applyBorder="0" applyAlignment="0" applyProtection="0"/>
    <xf numFmtId="172" fontId="24" fillId="41" borderId="18" applyNumberFormat="0" applyProtection="0">
      <alignment horizontal="center" vertical="center" wrapText="1"/>
    </xf>
    <xf numFmtId="0" fontId="24" fillId="41" borderId="18" applyProtection="0">
      <alignment horizontal="center" vertical="center" wrapText="1"/>
    </xf>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6" fontId="18"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78" fontId="18" fillId="0" borderId="0" applyFont="0" applyFill="0" applyBorder="0" applyAlignment="0" applyProtection="0"/>
    <xf numFmtId="177" fontId="18"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0" fontId="17" fillId="10" borderId="0" applyNumberFormat="0" applyBorder="0" applyAlignment="0" applyProtection="0"/>
    <xf numFmtId="0" fontId="25" fillId="10" borderId="0" applyNumberFormat="0" applyBorder="0" applyAlignment="0" applyProtection="0"/>
    <xf numFmtId="179" fontId="20" fillId="0" borderId="0" applyFill="0">
      <alignment horizontal="center" vertical="center" wrapText="1"/>
    </xf>
    <xf numFmtId="180" fontId="20" fillId="30" borderId="0" applyFill="0" applyProtection="0">
      <alignment horizontal="center" vertical="center"/>
    </xf>
    <xf numFmtId="1" fontId="20" fillId="9" borderId="0" applyFill="0">
      <alignment horizontal="center"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2" fontId="18" fillId="0" borderId="0"/>
    <xf numFmtId="0" fontId="11" fillId="0" borderId="0"/>
    <xf numFmtId="0" fontId="11" fillId="0" borderId="0"/>
    <xf numFmtId="0" fontId="18" fillId="0" borderId="0" applyFont="0" applyBorder="0" applyProtection="0"/>
    <xf numFmtId="0" fontId="19" fillId="0" borderId="0"/>
    <xf numFmtId="0" fontId="11" fillId="0" borderId="0"/>
    <xf numFmtId="0" fontId="11" fillId="0" borderId="0"/>
    <xf numFmtId="0" fontId="26" fillId="0" borderId="0"/>
    <xf numFmtId="0" fontId="7" fillId="0" borderId="0" applyBorder="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67" fontId="18" fillId="0" borderId="0" applyFont="0" applyFill="0" applyBorder="0" applyAlignment="0" applyProtection="0"/>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xf numFmtId="0" fontId="21" fillId="0" borderId="0"/>
    <xf numFmtId="0" fontId="11" fillId="0" borderId="0"/>
    <xf numFmtId="0" fontId="11" fillId="0" borderId="0"/>
    <xf numFmtId="0" fontId="11" fillId="0" borderId="0"/>
    <xf numFmtId="0" fontId="11" fillId="0" borderId="0"/>
    <xf numFmtId="0" fontId="11" fillId="0" borderId="0"/>
    <xf numFmtId="0" fontId="18" fillId="0" borderId="0" applyFont="0" applyBorder="0" applyProtection="0"/>
    <xf numFmtId="0" fontId="18" fillId="0" borderId="0" applyFont="0" applyBorder="0" applyProtection="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applyFont="0" applyBorder="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11" borderId="20" applyNumberFormat="0" applyFont="0" applyAlignment="0" applyProtection="0"/>
    <xf numFmtId="0" fontId="11" fillId="11" borderId="20" applyNumberFormat="0" applyFont="0" applyAlignment="0" applyProtection="0"/>
    <xf numFmtId="0" fontId="11" fillId="11" borderId="20" applyNumberFormat="0" applyFont="0" applyAlignment="0" applyProtection="0"/>
    <xf numFmtId="0" fontId="11" fillId="11" borderId="20" applyNumberFormat="0" applyFont="0" applyAlignment="0" applyProtection="0"/>
    <xf numFmtId="0" fontId="11" fillId="11" borderId="20" applyNumberFormat="0" applyFont="0" applyAlignment="0" applyProtection="0"/>
    <xf numFmtId="0" fontId="11" fillId="11" borderId="20" applyNumberFormat="0" applyFont="0" applyAlignment="0" applyProtection="0"/>
    <xf numFmtId="171" fontId="18" fillId="0" borderId="0" applyFont="0" applyFill="0" applyBorder="0" applyAlignment="0" applyProtection="0"/>
    <xf numFmtId="0" fontId="11" fillId="0" borderId="0"/>
    <xf numFmtId="167" fontId="18" fillId="0" borderId="0" applyFont="0" applyFill="0" applyBorder="0" applyAlignment="0" applyProtection="0"/>
    <xf numFmtId="0" fontId="11" fillId="0" borderId="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1" fillId="0" borderId="0" applyFont="0" applyFill="0" applyBorder="0" applyAlignment="0" applyProtection="0"/>
    <xf numFmtId="167" fontId="12" fillId="0" borderId="0" applyFont="0" applyFill="0" applyBorder="0" applyAlignment="0" applyProtection="0"/>
    <xf numFmtId="166" fontId="12" fillId="0" borderId="0" applyFont="0" applyFill="0" applyBorder="0" applyAlignment="0" applyProtection="0"/>
    <xf numFmtId="166"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0" fontId="11" fillId="0" borderId="0"/>
    <xf numFmtId="167" fontId="11" fillId="0" borderId="0" applyFont="0" applyFill="0" applyBorder="0" applyAlignment="0" applyProtection="0"/>
    <xf numFmtId="0" fontId="11" fillId="0" borderId="0"/>
    <xf numFmtId="169" fontId="14" fillId="8" borderId="18">
      <alignment horizontal="center" vertical="center" wrapText="1"/>
    </xf>
    <xf numFmtId="43" fontId="18" fillId="0" borderId="0" applyFont="0" applyFill="0" applyBorder="0" applyAlignment="0" applyProtection="0"/>
    <xf numFmtId="0" fontId="11" fillId="0" borderId="0"/>
  </cellStyleXfs>
  <cellXfs count="1135">
    <xf numFmtId="0" fontId="0" fillId="0" borderId="0" xfId="0"/>
    <xf numFmtId="0" fontId="3" fillId="2" borderId="0" xfId="0" applyFont="1" applyFill="1" applyAlignment="1" applyProtection="1">
      <alignment horizontal="center" vertical="center"/>
      <protection locked="0"/>
    </xf>
    <xf numFmtId="0" fontId="3" fillId="0" borderId="0" xfId="0" applyFont="1" applyProtection="1">
      <protection locked="0"/>
    </xf>
    <xf numFmtId="3" fontId="4" fillId="0" borderId="5" xfId="0" applyNumberFormat="1" applyFont="1" applyBorder="1" applyAlignment="1" applyProtection="1">
      <alignment horizontal="center" vertical="center" wrapText="1"/>
      <protection locked="0"/>
    </xf>
    <xf numFmtId="0" fontId="2" fillId="0" borderId="3" xfId="0" applyFont="1" applyBorder="1" applyAlignment="1" applyProtection="1">
      <alignment vertical="center"/>
      <protection locked="0"/>
    </xf>
    <xf numFmtId="0" fontId="2" fillId="0" borderId="4" xfId="0" applyFont="1" applyBorder="1" applyAlignment="1" applyProtection="1">
      <alignment vertical="center"/>
      <protection locked="0"/>
    </xf>
    <xf numFmtId="0" fontId="0" fillId="5" borderId="9" xfId="0" applyFill="1" applyBorder="1"/>
    <xf numFmtId="0" fontId="0" fillId="5" borderId="10" xfId="0" applyFill="1" applyBorder="1"/>
    <xf numFmtId="0" fontId="3" fillId="2" borderId="0" xfId="1" applyFont="1" applyFill="1" applyAlignment="1">
      <alignment horizontal="center" vertical="center"/>
    </xf>
    <xf numFmtId="0" fontId="3" fillId="0" borderId="0" xfId="1" applyFont="1"/>
    <xf numFmtId="1" fontId="4" fillId="6" borderId="5" xfId="1" applyNumberFormat="1" applyFont="1" applyFill="1" applyBorder="1" applyAlignment="1">
      <alignment horizontal="center" vertical="center" wrapText="1"/>
    </xf>
    <xf numFmtId="0" fontId="4" fillId="6" borderId="5" xfId="1" applyFont="1" applyFill="1" applyBorder="1" applyAlignment="1">
      <alignment horizontal="center" vertical="center" wrapText="1"/>
    </xf>
    <xf numFmtId="0" fontId="2" fillId="6" borderId="5" xfId="1" applyFont="1" applyFill="1" applyBorder="1" applyAlignment="1" applyProtection="1">
      <alignment horizontal="center" vertical="center" wrapText="1"/>
      <protection locked="0"/>
    </xf>
    <xf numFmtId="168" fontId="4" fillId="6" borderId="5" xfId="1" applyNumberFormat="1" applyFont="1" applyFill="1" applyBorder="1" applyAlignment="1">
      <alignment horizontal="center" vertical="center" wrapText="1"/>
    </xf>
    <xf numFmtId="0" fontId="4" fillId="6" borderId="5" xfId="1" applyFont="1" applyFill="1" applyBorder="1" applyAlignment="1">
      <alignment horizontal="center" vertical="center" textRotation="90" wrapText="1"/>
    </xf>
    <xf numFmtId="49" fontId="4" fillId="6" borderId="5" xfId="1" applyNumberFormat="1" applyFont="1" applyFill="1" applyBorder="1" applyAlignment="1">
      <alignment horizontal="center" vertical="center" textRotation="90" wrapText="1"/>
    </xf>
    <xf numFmtId="0" fontId="3" fillId="0" borderId="0" xfId="1" applyFont="1" applyAlignment="1">
      <alignment horizontal="center"/>
    </xf>
    <xf numFmtId="0" fontId="5" fillId="0" borderId="0" xfId="0" applyFont="1"/>
    <xf numFmtId="0" fontId="8" fillId="0" borderId="0" xfId="0" applyFont="1"/>
    <xf numFmtId="0" fontId="9" fillId="0" borderId="0" xfId="0" applyFont="1"/>
    <xf numFmtId="0" fontId="0" fillId="7" borderId="14" xfId="0" applyFill="1" applyBorder="1"/>
    <xf numFmtId="0" fontId="0" fillId="7" borderId="15" xfId="0" applyFill="1" applyBorder="1"/>
    <xf numFmtId="0" fontId="0" fillId="7" borderId="17" xfId="0" applyFill="1" applyBorder="1"/>
    <xf numFmtId="1" fontId="15" fillId="0" borderId="5" xfId="0" applyNumberFormat="1" applyFont="1" applyBorder="1" applyAlignment="1">
      <alignment horizontal="center" vertical="center" wrapText="1"/>
    </xf>
    <xf numFmtId="0" fontId="13" fillId="0" borderId="0" xfId="0" applyFont="1"/>
    <xf numFmtId="0" fontId="2" fillId="0" borderId="10" xfId="0" applyFont="1" applyBorder="1" applyAlignment="1" applyProtection="1">
      <alignment horizontal="center" vertical="center"/>
      <protection locked="0"/>
    </xf>
    <xf numFmtId="0" fontId="27" fillId="7" borderId="15" xfId="0" applyFont="1" applyFill="1" applyBorder="1" applyAlignment="1">
      <alignment horizontal="right" vertical="center"/>
    </xf>
    <xf numFmtId="181" fontId="27" fillId="7" borderId="16" xfId="0" applyNumberFormat="1" applyFont="1" applyFill="1" applyBorder="1" applyAlignment="1">
      <alignment vertical="center"/>
    </xf>
    <xf numFmtId="0" fontId="15" fillId="0" borderId="5" xfId="0" applyFont="1" applyBorder="1" applyAlignment="1">
      <alignment horizontal="center" vertical="center" wrapText="1"/>
    </xf>
    <xf numFmtId="181" fontId="0" fillId="0" borderId="5" xfId="7" applyNumberFormat="1" applyFont="1" applyBorder="1" applyAlignment="1">
      <alignment horizontal="justify" vertical="center" wrapText="1"/>
    </xf>
    <xf numFmtId="181" fontId="27" fillId="7" borderId="15" xfId="0" applyNumberFormat="1" applyFont="1" applyFill="1" applyBorder="1" applyAlignment="1">
      <alignment vertical="center"/>
    </xf>
    <xf numFmtId="0" fontId="6" fillId="0" borderId="0" xfId="0" applyFont="1" applyAlignment="1">
      <alignment horizontal="center" vertical="center" wrapText="1"/>
    </xf>
    <xf numFmtId="164" fontId="0" fillId="0" borderId="5" xfId="7" applyNumberFormat="1" applyFont="1" applyBorder="1" applyAlignment="1">
      <alignment horizontal="justify" vertical="center" wrapText="1"/>
    </xf>
    <xf numFmtId="0" fontId="4" fillId="3" borderId="3" xfId="1" applyFont="1" applyFill="1" applyBorder="1" applyAlignment="1">
      <alignment vertical="center"/>
    </xf>
    <xf numFmtId="0" fontId="4" fillId="3" borderId="1" xfId="1" applyFont="1" applyFill="1" applyBorder="1" applyAlignment="1">
      <alignment vertical="center"/>
    </xf>
    <xf numFmtId="168" fontId="4" fillId="6" borderId="5" xfId="1" applyNumberFormat="1" applyFont="1" applyFill="1" applyBorder="1" applyAlignment="1">
      <alignment vertical="center" wrapText="1"/>
    </xf>
    <xf numFmtId="181" fontId="0" fillId="0" borderId="5" xfId="7" applyNumberFormat="1" applyFont="1" applyBorder="1" applyAlignment="1">
      <alignment vertical="center" wrapText="1"/>
    </xf>
    <xf numFmtId="0" fontId="6" fillId="0" borderId="0" xfId="0" applyFont="1" applyAlignment="1">
      <alignment vertical="center" wrapText="1"/>
    </xf>
    <xf numFmtId="0" fontId="6" fillId="0" borderId="0" xfId="0" applyFont="1" applyAlignment="1">
      <alignment vertical="center"/>
    </xf>
    <xf numFmtId="0" fontId="2" fillId="6" borderId="13" xfId="1" applyFont="1" applyFill="1" applyBorder="1" applyAlignment="1" applyProtection="1">
      <alignment horizontal="center" vertical="center" wrapText="1"/>
      <protection locked="0"/>
    </xf>
    <xf numFmtId="0" fontId="4" fillId="0" borderId="5" xfId="0" applyFont="1" applyBorder="1" applyAlignment="1">
      <alignment horizontal="center"/>
    </xf>
    <xf numFmtId="14" fontId="4" fillId="0" borderId="5" xfId="0" applyNumberFormat="1" applyFont="1" applyBorder="1" applyAlignment="1">
      <alignment horizontal="center" wrapText="1"/>
    </xf>
    <xf numFmtId="0" fontId="3" fillId="0" borderId="10" xfId="0" applyFont="1" applyBorder="1" applyAlignment="1" applyProtection="1">
      <alignment horizontal="center" vertical="center"/>
      <protection locked="0"/>
    </xf>
    <xf numFmtId="0" fontId="2" fillId="42" borderId="5" xfId="1" applyFont="1" applyFill="1" applyBorder="1" applyAlignment="1" applyProtection="1">
      <alignment horizontal="center" vertical="center" wrapText="1"/>
      <protection locked="0"/>
    </xf>
    <xf numFmtId="3" fontId="0" fillId="9" borderId="5" xfId="0" applyNumberFormat="1" applyFill="1" applyBorder="1" applyAlignment="1">
      <alignment horizontal="center" vertical="center" wrapText="1"/>
    </xf>
    <xf numFmtId="0" fontId="0" fillId="9" borderId="0" xfId="0" applyFill="1"/>
    <xf numFmtId="0" fontId="7" fillId="9" borderId="5" xfId="0" applyFont="1" applyFill="1" applyBorder="1" applyAlignment="1">
      <alignment horizontal="left" vertical="center" wrapText="1"/>
    </xf>
    <xf numFmtId="167" fontId="27" fillId="7" borderId="16" xfId="53" applyFont="1" applyFill="1" applyBorder="1" applyAlignment="1">
      <alignment vertical="center"/>
    </xf>
    <xf numFmtId="167" fontId="27" fillId="7" borderId="15" xfId="53" applyFont="1" applyFill="1" applyBorder="1" applyAlignment="1">
      <alignment vertical="center"/>
    </xf>
    <xf numFmtId="0" fontId="0" fillId="7" borderId="24" xfId="0" applyFill="1" applyBorder="1"/>
    <xf numFmtId="167" fontId="15" fillId="9" borderId="0" xfId="367" applyFont="1" applyFill="1" applyBorder="1" applyAlignment="1">
      <alignment horizontal="center" vertical="center" wrapText="1"/>
    </xf>
    <xf numFmtId="1" fontId="30" fillId="9" borderId="5" xfId="0" applyNumberFormat="1" applyFont="1" applyFill="1" applyBorder="1" applyAlignment="1">
      <alignment horizontal="center" vertical="center"/>
    </xf>
    <xf numFmtId="0" fontId="30" fillId="9" borderId="8" xfId="0" applyFont="1" applyFill="1" applyBorder="1" applyAlignment="1">
      <alignment horizontal="justify" vertical="center" wrapText="1"/>
    </xf>
    <xf numFmtId="1" fontId="30" fillId="9" borderId="5" xfId="0" applyNumberFormat="1" applyFont="1" applyFill="1" applyBorder="1" applyAlignment="1">
      <alignment horizontal="center" vertical="center" wrapText="1"/>
    </xf>
    <xf numFmtId="0" fontId="30" fillId="9" borderId="5" xfId="0" applyFont="1" applyFill="1" applyBorder="1" applyAlignment="1">
      <alignment horizontal="justify" vertical="center" wrapText="1"/>
    </xf>
    <xf numFmtId="1" fontId="30" fillId="9" borderId="5" xfId="2" applyNumberFormat="1" applyFont="1" applyFill="1" applyBorder="1" applyAlignment="1">
      <alignment horizontal="center" vertical="center" wrapText="1"/>
    </xf>
    <xf numFmtId="0" fontId="30" fillId="9" borderId="5" xfId="2" applyFont="1" applyFill="1" applyBorder="1" applyAlignment="1">
      <alignment horizontal="justify" vertical="center" wrapText="1"/>
    </xf>
    <xf numFmtId="3" fontId="30" fillId="9" borderId="5" xfId="0" applyNumberFormat="1" applyFont="1" applyFill="1" applyBorder="1" applyAlignment="1">
      <alignment horizontal="justify" vertical="center" wrapText="1"/>
    </xf>
    <xf numFmtId="0" fontId="30" fillId="9" borderId="5" xfId="0" applyFont="1" applyFill="1" applyBorder="1" applyAlignment="1">
      <alignment vertical="center" wrapText="1"/>
    </xf>
    <xf numFmtId="167" fontId="30" fillId="0" borderId="5" xfId="25" applyFont="1" applyFill="1" applyBorder="1" applyAlignment="1">
      <alignment horizontal="center" vertical="center" wrapText="1"/>
    </xf>
    <xf numFmtId="168" fontId="31" fillId="43" borderId="5" xfId="1" applyNumberFormat="1" applyFont="1" applyFill="1" applyBorder="1" applyAlignment="1">
      <alignment vertical="center" wrapText="1"/>
    </xf>
    <xf numFmtId="168" fontId="31" fillId="43" borderId="5" xfId="1" applyNumberFormat="1" applyFont="1" applyFill="1" applyBorder="1" applyAlignment="1">
      <alignment horizontal="center" vertical="center" wrapText="1"/>
    </xf>
    <xf numFmtId="3" fontId="30" fillId="0" borderId="5" xfId="0" applyNumberFormat="1" applyFont="1" applyBorder="1" applyAlignment="1">
      <alignment horizontal="center" vertical="center" wrapText="1"/>
    </xf>
    <xf numFmtId="0" fontId="32" fillId="0" borderId="5" xfId="1" applyFont="1" applyBorder="1" applyAlignment="1">
      <alignment horizontal="center" vertical="center" wrapText="1"/>
    </xf>
    <xf numFmtId="3" fontId="32" fillId="44" borderId="5" xfId="0" applyNumberFormat="1" applyFont="1" applyFill="1" applyBorder="1" applyAlignment="1">
      <alignment horizontal="center" vertical="center" wrapText="1"/>
    </xf>
    <xf numFmtId="0" fontId="32" fillId="44" borderId="5" xfId="0" applyFont="1" applyFill="1" applyBorder="1" applyAlignment="1">
      <alignment horizontal="center" vertical="center" wrapText="1"/>
    </xf>
    <xf numFmtId="3" fontId="33" fillId="0" borderId="5" xfId="0" applyNumberFormat="1" applyFont="1" applyBorder="1" applyAlignment="1">
      <alignment horizontal="center" vertical="center"/>
    </xf>
    <xf numFmtId="14" fontId="32" fillId="0" borderId="13" xfId="1" applyNumberFormat="1" applyFont="1" applyBorder="1" applyAlignment="1">
      <alignment horizontal="center" vertical="center" wrapText="1"/>
    </xf>
    <xf numFmtId="14" fontId="33" fillId="0" borderId="19" xfId="0" applyNumberFormat="1" applyFont="1" applyBorder="1" applyAlignment="1">
      <alignment horizontal="center" vertical="center" wrapText="1"/>
    </xf>
    <xf numFmtId="0" fontId="30" fillId="0" borderId="5" xfId="0" applyFont="1" applyBorder="1" applyAlignment="1">
      <alignment horizontal="center" vertical="center" wrapText="1"/>
    </xf>
    <xf numFmtId="14" fontId="33" fillId="0" borderId="25" xfId="0" applyNumberFormat="1" applyFont="1" applyBorder="1" applyAlignment="1">
      <alignment horizontal="center" vertical="center" wrapText="1"/>
    </xf>
    <xf numFmtId="1" fontId="30" fillId="9" borderId="25" xfId="0" applyNumberFormat="1" applyFont="1" applyFill="1" applyBorder="1" applyAlignment="1">
      <alignment horizontal="center" vertical="center"/>
    </xf>
    <xf numFmtId="166" fontId="30" fillId="0" borderId="5" xfId="18" applyFont="1" applyFill="1" applyBorder="1" applyAlignment="1">
      <alignment horizontal="center" vertical="center" wrapText="1"/>
    </xf>
    <xf numFmtId="14" fontId="33" fillId="0" borderId="5" xfId="0" applyNumberFormat="1" applyFont="1" applyBorder="1" applyAlignment="1">
      <alignment horizontal="center" vertical="center" wrapText="1"/>
    </xf>
    <xf numFmtId="1" fontId="30" fillId="0" borderId="5" xfId="0" applyNumberFormat="1" applyFont="1" applyBorder="1" applyAlignment="1">
      <alignment horizontal="center" vertical="center"/>
    </xf>
    <xf numFmtId="0" fontId="30" fillId="0" borderId="8" xfId="0" applyFont="1" applyBorder="1" applyAlignment="1">
      <alignment horizontal="justify" vertical="center" wrapText="1"/>
    </xf>
    <xf numFmtId="1" fontId="30" fillId="0" borderId="5" xfId="0" applyNumberFormat="1" applyFont="1" applyBorder="1" applyAlignment="1">
      <alignment horizontal="center" vertical="center" wrapText="1"/>
    </xf>
    <xf numFmtId="0" fontId="30" fillId="0" borderId="5" xfId="0" applyFont="1" applyBorder="1" applyAlignment="1">
      <alignment horizontal="justify" vertical="center" wrapText="1"/>
    </xf>
    <xf numFmtId="1" fontId="30" fillId="0" borderId="5" xfId="2" applyNumberFormat="1" applyFont="1" applyBorder="1" applyAlignment="1">
      <alignment horizontal="center" vertical="center" wrapText="1"/>
    </xf>
    <xf numFmtId="0" fontId="30" fillId="0" borderId="5" xfId="2" applyFont="1" applyBorder="1" applyAlignment="1">
      <alignment horizontal="justify" vertical="center" wrapText="1"/>
    </xf>
    <xf numFmtId="3" fontId="30" fillId="0" borderId="5" xfId="0" applyNumberFormat="1" applyFont="1" applyBorder="1" applyAlignment="1">
      <alignment horizontal="justify" vertical="center" wrapText="1"/>
    </xf>
    <xf numFmtId="0" fontId="32" fillId="9" borderId="5" xfId="0" applyFont="1" applyFill="1" applyBorder="1" applyAlignment="1">
      <alignment horizontal="justify" vertical="center" wrapText="1"/>
    </xf>
    <xf numFmtId="166" fontId="30" fillId="0" borderId="5" xfId="18" applyFont="1" applyFill="1" applyBorder="1" applyAlignment="1">
      <alignment vertical="center" wrapText="1"/>
    </xf>
    <xf numFmtId="0" fontId="31" fillId="43" borderId="5" xfId="1" applyFont="1" applyFill="1" applyBorder="1" applyAlignment="1">
      <alignment horizontal="center" vertical="center" textRotation="90" wrapText="1"/>
    </xf>
    <xf numFmtId="1" fontId="30" fillId="0" borderId="19" xfId="0" applyNumberFormat="1" applyFont="1" applyBorder="1" applyAlignment="1">
      <alignment horizontal="center" vertical="center"/>
    </xf>
    <xf numFmtId="1" fontId="30" fillId="0" borderId="25" xfId="0" applyNumberFormat="1" applyFont="1" applyBorder="1" applyAlignment="1">
      <alignment horizontal="center" vertical="center"/>
    </xf>
    <xf numFmtId="1" fontId="30" fillId="45" borderId="5" xfId="0" applyNumberFormat="1" applyFont="1" applyFill="1" applyBorder="1" applyAlignment="1">
      <alignment horizontal="center" vertical="center" wrapText="1"/>
    </xf>
    <xf numFmtId="1" fontId="30" fillId="0" borderId="5" xfId="26" applyNumberFormat="1" applyFont="1" applyFill="1" applyBorder="1">
      <alignment horizontal="center" vertical="center" wrapText="1"/>
    </xf>
    <xf numFmtId="1" fontId="30" fillId="0" borderId="19" xfId="0" applyNumberFormat="1" applyFont="1" applyBorder="1" applyAlignment="1">
      <alignment horizontal="center" vertical="center" wrapText="1"/>
    </xf>
    <xf numFmtId="3" fontId="30" fillId="45" borderId="5" xfId="0" applyNumberFormat="1" applyFont="1" applyFill="1" applyBorder="1" applyAlignment="1">
      <alignment horizontal="justify" vertical="center" wrapText="1"/>
    </xf>
    <xf numFmtId="166" fontId="30" fillId="45" borderId="5" xfId="18" applyFont="1" applyFill="1" applyBorder="1" applyAlignment="1">
      <alignment vertical="center" wrapText="1"/>
    </xf>
    <xf numFmtId="168" fontId="31" fillId="46" borderId="5" xfId="1" applyNumberFormat="1" applyFont="1" applyFill="1" applyBorder="1" applyAlignment="1">
      <alignment vertical="center" wrapText="1"/>
    </xf>
    <xf numFmtId="168" fontId="31" fillId="46" borderId="5" xfId="1" applyNumberFormat="1" applyFont="1" applyFill="1" applyBorder="1" applyAlignment="1">
      <alignment horizontal="center" vertical="center" wrapText="1"/>
    </xf>
    <xf numFmtId="3" fontId="30" fillId="45" borderId="5" xfId="0" applyNumberFormat="1" applyFont="1" applyFill="1" applyBorder="1" applyAlignment="1">
      <alignment horizontal="center" vertical="center" wrapText="1"/>
    </xf>
    <xf numFmtId="9" fontId="30" fillId="9" borderId="5" xfId="2" applyNumberFormat="1" applyFont="1" applyFill="1" applyBorder="1" applyAlignment="1">
      <alignment horizontal="center" vertical="center" wrapText="1"/>
    </xf>
    <xf numFmtId="14" fontId="33" fillId="0" borderId="26" xfId="0" applyNumberFormat="1" applyFont="1" applyBorder="1" applyAlignment="1">
      <alignment horizontal="center" vertical="center" wrapText="1"/>
    </xf>
    <xf numFmtId="3" fontId="30" fillId="0" borderId="11" xfId="0" applyNumberFormat="1" applyFont="1" applyBorder="1" applyAlignment="1">
      <alignment horizontal="justify" vertical="center" wrapText="1"/>
    </xf>
    <xf numFmtId="0" fontId="0" fillId="7" borderId="5" xfId="0" applyFill="1" applyBorder="1"/>
    <xf numFmtId="181" fontId="34" fillId="7" borderId="16" xfId="0" applyNumberFormat="1" applyFont="1" applyFill="1" applyBorder="1" applyAlignment="1">
      <alignment vertical="center"/>
    </xf>
    <xf numFmtId="0" fontId="6" fillId="0" borderId="0" xfId="0" applyFont="1"/>
    <xf numFmtId="0" fontId="3" fillId="0" borderId="5" xfId="0" applyFont="1" applyBorder="1" applyAlignment="1">
      <alignment horizontal="center" vertical="center"/>
    </xf>
    <xf numFmtId="1" fontId="3" fillId="0" borderId="5" xfId="1" applyNumberFormat="1" applyFont="1" applyBorder="1" applyAlignment="1" applyProtection="1">
      <alignment horizontal="center" vertical="center" wrapText="1"/>
      <protection locked="0"/>
    </xf>
    <xf numFmtId="0" fontId="3" fillId="0" borderId="5" xfId="1" applyFont="1" applyBorder="1" applyAlignment="1" applyProtection="1">
      <alignment horizontal="center" vertical="center" wrapText="1"/>
      <protection locked="0"/>
    </xf>
    <xf numFmtId="184" fontId="7" fillId="0" borderId="5" xfId="1" applyNumberFormat="1" applyFont="1" applyBorder="1" applyAlignment="1">
      <alignment horizontal="center" vertical="center" wrapText="1"/>
    </xf>
    <xf numFmtId="168" fontId="7" fillId="0" borderId="5" xfId="1" applyNumberFormat="1" applyFont="1" applyBorder="1" applyAlignment="1">
      <alignment horizontal="center" vertical="center" wrapText="1"/>
    </xf>
    <xf numFmtId="1" fontId="7" fillId="0" borderId="5" xfId="1" applyNumberFormat="1" applyFont="1" applyBorder="1" applyAlignment="1">
      <alignment horizontal="center" vertical="center" wrapText="1"/>
    </xf>
    <xf numFmtId="14" fontId="7" fillId="0" borderId="13" xfId="1" applyNumberFormat="1" applyFont="1" applyBorder="1" applyAlignment="1">
      <alignment horizontal="center" vertical="center" wrapText="1"/>
    </xf>
    <xf numFmtId="0" fontId="3" fillId="0" borderId="0" xfId="1" applyFont="1" applyAlignment="1">
      <alignment horizontal="center" vertical="center"/>
    </xf>
    <xf numFmtId="0" fontId="3" fillId="0" borderId="13" xfId="1" applyFont="1" applyBorder="1" applyAlignment="1" applyProtection="1">
      <alignment horizontal="center" vertical="center" wrapText="1"/>
      <protection locked="0"/>
    </xf>
    <xf numFmtId="3" fontId="7" fillId="0" borderId="5" xfId="1" applyNumberFormat="1" applyFont="1" applyBorder="1" applyAlignment="1">
      <alignment horizontal="center" vertical="center" wrapText="1"/>
    </xf>
    <xf numFmtId="0" fontId="7" fillId="0" borderId="5" xfId="1" applyFont="1" applyBorder="1" applyAlignment="1">
      <alignment horizontal="center" vertical="center" wrapText="1"/>
    </xf>
    <xf numFmtId="168" fontId="4" fillId="0" borderId="5" xfId="1" applyNumberFormat="1" applyFont="1" applyBorder="1" applyAlignment="1">
      <alignment horizontal="center" vertical="center" wrapText="1"/>
    </xf>
    <xf numFmtId="1" fontId="12" fillId="0" borderId="5" xfId="0" applyNumberFormat="1" applyFont="1" applyBorder="1" applyAlignment="1">
      <alignment horizontal="center" vertical="center" wrapText="1"/>
    </xf>
    <xf numFmtId="0" fontId="12" fillId="0" borderId="5" xfId="0" applyFont="1" applyBorder="1" applyAlignment="1">
      <alignment horizontal="center" vertical="center" wrapText="1"/>
    </xf>
    <xf numFmtId="1" fontId="12" fillId="0" borderId="5" xfId="0" applyNumberFormat="1" applyFont="1" applyBorder="1" applyAlignment="1">
      <alignment horizontal="center" vertical="center"/>
    </xf>
    <xf numFmtId="0" fontId="0" fillId="0" borderId="5" xfId="0" applyBorder="1" applyAlignment="1">
      <alignment horizontal="center" vertical="center" wrapText="1"/>
    </xf>
    <xf numFmtId="0" fontId="3" fillId="0" borderId="5" xfId="0" applyFont="1" applyBorder="1" applyAlignment="1">
      <alignment horizontal="justify" vertical="center" wrapText="1"/>
    </xf>
    <xf numFmtId="1" fontId="3" fillId="0" borderId="5" xfId="0" applyNumberFormat="1" applyFont="1" applyBorder="1" applyAlignment="1">
      <alignment horizontal="center" vertical="center"/>
    </xf>
    <xf numFmtId="0" fontId="3" fillId="0" borderId="0" xfId="0" applyFont="1"/>
    <xf numFmtId="1" fontId="4" fillId="6" borderId="11" xfId="1" applyNumberFormat="1" applyFont="1" applyFill="1" applyBorder="1" applyAlignment="1">
      <alignment horizontal="center" vertical="center" wrapText="1"/>
    </xf>
    <xf numFmtId="0" fontId="4" fillId="6" borderId="11" xfId="1" applyFont="1" applyFill="1" applyBorder="1" applyAlignment="1">
      <alignment horizontal="center" vertical="center" wrapText="1"/>
    </xf>
    <xf numFmtId="0" fontId="2" fillId="6" borderId="11" xfId="1" applyFont="1" applyFill="1" applyBorder="1" applyAlignment="1" applyProtection="1">
      <alignment horizontal="center" vertical="center" wrapText="1"/>
      <protection locked="0"/>
    </xf>
    <xf numFmtId="0" fontId="2" fillId="6" borderId="12" xfId="1" applyFont="1" applyFill="1" applyBorder="1" applyAlignment="1" applyProtection="1">
      <alignment horizontal="center" vertical="center" wrapText="1"/>
      <protection locked="0"/>
    </xf>
    <xf numFmtId="168" fontId="4" fillId="6" borderId="11" xfId="1" applyNumberFormat="1" applyFont="1" applyFill="1" applyBorder="1" applyAlignment="1">
      <alignment horizontal="center" vertical="center" wrapText="1"/>
    </xf>
    <xf numFmtId="168" fontId="4" fillId="6" borderId="11" xfId="1" applyNumberFormat="1" applyFont="1" applyFill="1" applyBorder="1" applyAlignment="1">
      <alignment vertical="center" wrapText="1"/>
    </xf>
    <xf numFmtId="0" fontId="4" fillId="6" borderId="11" xfId="1" applyFont="1" applyFill="1" applyBorder="1" applyAlignment="1">
      <alignment horizontal="center" vertical="center" textRotation="90" wrapText="1"/>
    </xf>
    <xf numFmtId="49" fontId="4" fillId="6" borderId="11" xfId="1" applyNumberFormat="1" applyFont="1" applyFill="1" applyBorder="1" applyAlignment="1">
      <alignment horizontal="center" vertical="center" textRotation="90" wrapText="1"/>
    </xf>
    <xf numFmtId="0" fontId="12" fillId="0" borderId="5" xfId="0" applyFont="1" applyBorder="1" applyAlignment="1">
      <alignment horizontal="justify" vertical="center" wrapText="1"/>
    </xf>
    <xf numFmtId="1" fontId="12" fillId="0" borderId="5" xfId="3" applyNumberFormat="1" applyFont="1" applyFill="1" applyBorder="1">
      <alignment horizontal="center" vertical="center" wrapText="1"/>
    </xf>
    <xf numFmtId="168" fontId="4" fillId="43" borderId="5" xfId="1" applyNumberFormat="1" applyFont="1" applyFill="1" applyBorder="1" applyAlignment="1">
      <alignment vertical="center" wrapText="1"/>
    </xf>
    <xf numFmtId="168" fontId="4" fillId="43" borderId="5" xfId="1" applyNumberFormat="1" applyFont="1" applyFill="1" applyBorder="1" applyAlignment="1">
      <alignment horizontal="center" vertical="center" wrapText="1"/>
    </xf>
    <xf numFmtId="9" fontId="12" fillId="0" borderId="5" xfId="368" applyFont="1" applyFill="1" applyBorder="1" applyAlignment="1">
      <alignment horizontal="center" vertical="center"/>
    </xf>
    <xf numFmtId="0" fontId="3" fillId="9" borderId="0" xfId="1" applyFont="1" applyFill="1" applyAlignment="1">
      <alignment horizontal="center"/>
    </xf>
    <xf numFmtId="0" fontId="15" fillId="0" borderId="5" xfId="0" applyFont="1" applyBorder="1" applyAlignment="1">
      <alignment horizontal="justify" vertical="center" wrapText="1"/>
    </xf>
    <xf numFmtId="1" fontId="15" fillId="0" borderId="5" xfId="0" applyNumberFormat="1" applyFont="1" applyBorder="1" applyAlignment="1">
      <alignment horizontal="center" vertical="center"/>
    </xf>
    <xf numFmtId="0" fontId="15" fillId="0" borderId="5" xfId="0" applyFont="1" applyBorder="1" applyAlignment="1">
      <alignment horizontal="justify" vertical="center"/>
    </xf>
    <xf numFmtId="2" fontId="0" fillId="0" borderId="5" xfId="0" applyNumberFormat="1" applyBorder="1" applyAlignment="1">
      <alignment horizontal="justify" vertical="justify" wrapText="1"/>
    </xf>
    <xf numFmtId="184" fontId="3" fillId="0" borderId="5" xfId="0" applyNumberFormat="1" applyFont="1" applyBorder="1" applyAlignment="1" applyProtection="1">
      <alignment horizontal="right" vertical="center"/>
      <protection locked="0"/>
    </xf>
    <xf numFmtId="181" fontId="0" fillId="0" borderId="5" xfId="7" applyNumberFormat="1" applyFont="1" applyFill="1" applyBorder="1" applyAlignment="1">
      <alignment vertical="center" wrapText="1"/>
    </xf>
    <xf numFmtId="181" fontId="0" fillId="0" borderId="5" xfId="7" applyNumberFormat="1" applyFont="1" applyFill="1" applyBorder="1" applyAlignment="1">
      <alignment horizontal="justify" vertical="center" wrapText="1"/>
    </xf>
    <xf numFmtId="164" fontId="0" fillId="0" borderId="5" xfId="7" applyNumberFormat="1" applyFont="1" applyFill="1" applyBorder="1" applyAlignment="1">
      <alignment horizontal="right" vertical="center" wrapText="1"/>
    </xf>
    <xf numFmtId="0" fontId="0" fillId="0" borderId="5" xfId="0" applyBorder="1" applyAlignment="1">
      <alignment vertical="center" wrapText="1"/>
    </xf>
    <xf numFmtId="1" fontId="16" fillId="0" borderId="5" xfId="0" applyNumberFormat="1" applyFont="1" applyBorder="1" applyAlignment="1">
      <alignment horizontal="center" vertical="center"/>
    </xf>
    <xf numFmtId="1" fontId="28" fillId="0" borderId="5" xfId="0" applyNumberFormat="1" applyFont="1" applyBorder="1" applyAlignment="1">
      <alignment horizontal="center" vertical="center"/>
    </xf>
    <xf numFmtId="14" fontId="0" fillId="0" borderId="5" xfId="0" applyNumberFormat="1" applyBorder="1" applyAlignment="1">
      <alignment horizontal="center" vertical="center" wrapText="1"/>
    </xf>
    <xf numFmtId="0" fontId="0" fillId="0" borderId="5" xfId="0" applyBorder="1" applyAlignment="1">
      <alignment horizontal="left" vertical="center" wrapText="1"/>
    </xf>
    <xf numFmtId="184" fontId="12" fillId="0" borderId="5" xfId="0" applyNumberFormat="1" applyFont="1" applyBorder="1" applyAlignment="1" applyProtection="1">
      <alignment horizontal="right" vertical="center"/>
      <protection locked="0"/>
    </xf>
    <xf numFmtId="49" fontId="12" fillId="0" borderId="5" xfId="0" applyNumberFormat="1" applyFont="1" applyBorder="1" applyAlignment="1">
      <alignment horizontal="center" vertical="center" wrapText="1"/>
    </xf>
    <xf numFmtId="2" fontId="35" fillId="0" borderId="5" xfId="0" applyNumberFormat="1" applyFont="1" applyBorder="1" applyAlignment="1">
      <alignment horizontal="justify" vertical="center"/>
    </xf>
    <xf numFmtId="0" fontId="0" fillId="0" borderId="8" xfId="0" applyBorder="1" applyAlignment="1">
      <alignment vertical="center" wrapText="1"/>
    </xf>
    <xf numFmtId="0" fontId="35" fillId="0" borderId="8" xfId="0" applyFont="1" applyBorder="1" applyAlignment="1">
      <alignment vertical="center" wrapText="1"/>
    </xf>
    <xf numFmtId="2" fontId="35" fillId="0" borderId="5" xfId="0" applyNumberFormat="1" applyFont="1" applyBorder="1" applyAlignment="1">
      <alignment horizontal="justify" vertical="justify" wrapText="1"/>
    </xf>
    <xf numFmtId="181" fontId="27" fillId="7" borderId="27" xfId="0" applyNumberFormat="1" applyFont="1" applyFill="1" applyBorder="1" applyAlignment="1">
      <alignment vertical="center"/>
    </xf>
    <xf numFmtId="181" fontId="27" fillId="7" borderId="24" xfId="0" applyNumberFormat="1" applyFont="1" applyFill="1" applyBorder="1" applyAlignment="1">
      <alignment vertical="center"/>
    </xf>
    <xf numFmtId="0" fontId="2" fillId="0" borderId="8"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4" fillId="0" borderId="8" xfId="0" applyFont="1" applyBorder="1" applyAlignment="1">
      <alignment horizontal="center"/>
    </xf>
    <xf numFmtId="0" fontId="3" fillId="0" borderId="9"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5" xfId="0" applyFont="1" applyBorder="1" applyAlignment="1" applyProtection="1">
      <alignment vertical="center"/>
      <protection locked="0"/>
    </xf>
    <xf numFmtId="0" fontId="4" fillId="3" borderId="5" xfId="1" applyFont="1" applyFill="1" applyBorder="1" applyAlignment="1">
      <alignment vertical="center"/>
    </xf>
    <xf numFmtId="0" fontId="0" fillId="5" borderId="5" xfId="0" applyFill="1" applyBorder="1"/>
    <xf numFmtId="0" fontId="4" fillId="3" borderId="5" xfId="1" applyFont="1" applyFill="1" applyBorder="1" applyAlignment="1">
      <alignment vertical="center" textRotation="90" wrapText="1"/>
    </xf>
    <xf numFmtId="43" fontId="4" fillId="3" borderId="5" xfId="369" applyFont="1" applyFill="1" applyBorder="1" applyAlignment="1">
      <alignment horizontal="center" vertical="center"/>
    </xf>
    <xf numFmtId="167" fontId="12" fillId="0" borderId="5" xfId="18" applyNumberFormat="1" applyFont="1" applyFill="1" applyBorder="1" applyAlignment="1">
      <alignment horizontal="right" vertical="center" wrapText="1"/>
    </xf>
    <xf numFmtId="0" fontId="11" fillId="0" borderId="0" xfId="371"/>
    <xf numFmtId="0" fontId="3" fillId="2" borderId="0" xfId="371" applyFont="1" applyFill="1" applyAlignment="1" applyProtection="1">
      <alignment horizontal="center" vertical="center"/>
      <protection locked="0"/>
    </xf>
    <xf numFmtId="0" fontId="3" fillId="0" borderId="0" xfId="371" applyFont="1" applyProtection="1">
      <protection locked="0"/>
    </xf>
    <xf numFmtId="0" fontId="2" fillId="0" borderId="3" xfId="371" applyFont="1" applyBorder="1" applyAlignment="1" applyProtection="1">
      <alignment vertical="center"/>
      <protection locked="0"/>
    </xf>
    <xf numFmtId="0" fontId="2" fillId="0" borderId="4" xfId="371" applyFont="1" applyBorder="1" applyAlignment="1" applyProtection="1">
      <alignment vertical="center"/>
      <protection locked="0"/>
    </xf>
    <xf numFmtId="0" fontId="2" fillId="0" borderId="1" xfId="371" applyFont="1" applyBorder="1" applyAlignment="1" applyProtection="1">
      <alignment vertical="center"/>
      <protection locked="0"/>
    </xf>
    <xf numFmtId="0" fontId="2" fillId="0" borderId="0" xfId="371" applyFont="1" applyAlignment="1" applyProtection="1">
      <alignment vertical="center"/>
      <protection locked="0"/>
    </xf>
    <xf numFmtId="167" fontId="2" fillId="0" borderId="1" xfId="372" applyFont="1" applyBorder="1" applyAlignment="1" applyProtection="1">
      <alignment vertical="center"/>
      <protection locked="0"/>
    </xf>
    <xf numFmtId="0" fontId="2" fillId="0" borderId="7" xfId="371" applyFont="1" applyBorder="1" applyAlignment="1" applyProtection="1">
      <alignment vertical="center"/>
      <protection locked="0"/>
    </xf>
    <xf numFmtId="0" fontId="11" fillId="5" borderId="9" xfId="371" applyFill="1" applyBorder="1"/>
    <xf numFmtId="0" fontId="11" fillId="5" borderId="10" xfId="371" applyFill="1" applyBorder="1"/>
    <xf numFmtId="167" fontId="4" fillId="6" borderId="5" xfId="372" applyFont="1" applyFill="1" applyBorder="1" applyAlignment="1">
      <alignment horizontal="center" vertical="center" wrapText="1"/>
    </xf>
    <xf numFmtId="168" fontId="4" fillId="48" borderId="11" xfId="1" applyNumberFormat="1" applyFont="1" applyFill="1" applyBorder="1" applyAlignment="1">
      <alignment horizontal="center" vertical="center" wrapText="1"/>
    </xf>
    <xf numFmtId="184" fontId="15" fillId="0" borderId="8" xfId="372" applyNumberFormat="1" applyFont="1" applyFill="1" applyBorder="1" applyAlignment="1">
      <alignment horizontal="center" vertical="center" wrapText="1"/>
    </xf>
    <xf numFmtId="167" fontId="15" fillId="0" borderId="19" xfId="35" applyNumberFormat="1" applyFont="1" applyFill="1" applyBorder="1" applyAlignment="1">
      <alignment horizontal="center" vertical="center" wrapText="1"/>
    </xf>
    <xf numFmtId="164" fontId="15" fillId="0" borderId="10" xfId="35" applyNumberFormat="1" applyFont="1" applyFill="1" applyBorder="1" applyAlignment="1">
      <alignment horizontal="center" vertical="center" wrapText="1"/>
    </xf>
    <xf numFmtId="184" fontId="15" fillId="0" borderId="8" xfId="35" applyNumberFormat="1" applyFont="1" applyFill="1" applyBorder="1" applyAlignment="1">
      <alignment horizontal="center" vertical="center" wrapText="1"/>
    </xf>
    <xf numFmtId="184" fontId="15" fillId="0" borderId="5" xfId="372" applyNumberFormat="1" applyFont="1" applyFill="1" applyBorder="1" applyAlignment="1">
      <alignment horizontal="center" vertical="center" wrapText="1"/>
    </xf>
    <xf numFmtId="167" fontId="11" fillId="0" borderId="23" xfId="35" applyNumberFormat="1" applyFont="1" applyFill="1" applyBorder="1" applyAlignment="1">
      <alignment horizontal="center" vertical="center" wrapText="1"/>
    </xf>
    <xf numFmtId="164" fontId="15" fillId="0" borderId="4" xfId="35" applyNumberFormat="1" applyFont="1" applyFill="1" applyBorder="1" applyAlignment="1">
      <alignment horizontal="center" vertical="center" wrapText="1"/>
    </xf>
    <xf numFmtId="184" fontId="11" fillId="0" borderId="8" xfId="35" applyNumberFormat="1" applyFont="1" applyFill="1" applyBorder="1" applyAlignment="1">
      <alignment horizontal="center" vertical="center" wrapText="1"/>
    </xf>
    <xf numFmtId="167" fontId="11" fillId="0" borderId="19" xfId="35" applyNumberFormat="1" applyFont="1" applyFill="1" applyBorder="1" applyAlignment="1">
      <alignment horizontal="center" vertical="center" wrapText="1"/>
    </xf>
    <xf numFmtId="164" fontId="15" fillId="0" borderId="30" xfId="35" applyNumberFormat="1" applyFont="1" applyFill="1" applyBorder="1" applyAlignment="1">
      <alignment horizontal="center" vertical="center" wrapText="1"/>
    </xf>
    <xf numFmtId="184" fontId="11" fillId="0" borderId="8" xfId="372" applyNumberFormat="1" applyFont="1" applyFill="1" applyBorder="1" applyAlignment="1">
      <alignment horizontal="center" vertical="center" wrapText="1"/>
    </xf>
    <xf numFmtId="167" fontId="15" fillId="0" borderId="31" xfId="35" applyNumberFormat="1" applyFont="1" applyFill="1" applyBorder="1" applyAlignment="1">
      <alignment horizontal="center" vertical="center" wrapText="1"/>
    </xf>
    <xf numFmtId="164" fontId="15" fillId="0" borderId="19" xfId="35" applyNumberFormat="1" applyFont="1" applyFill="1" applyBorder="1" applyAlignment="1">
      <alignment horizontal="center" vertical="center" wrapText="1"/>
    </xf>
    <xf numFmtId="184" fontId="11" fillId="0" borderId="2" xfId="372" applyNumberFormat="1" applyFont="1" applyFill="1" applyBorder="1" applyAlignment="1">
      <alignment horizontal="center" vertical="center" wrapText="1"/>
    </xf>
    <xf numFmtId="167" fontId="11" fillId="0" borderId="25" xfId="35" applyNumberFormat="1" applyFont="1" applyFill="1" applyBorder="1" applyAlignment="1">
      <alignment horizontal="center" vertical="center" wrapText="1"/>
    </xf>
    <xf numFmtId="164" fontId="15" fillId="0" borderId="23" xfId="35" applyNumberFormat="1" applyFont="1" applyFill="1" applyBorder="1" applyAlignment="1">
      <alignment horizontal="center" vertical="center" wrapText="1"/>
    </xf>
    <xf numFmtId="0" fontId="15" fillId="0" borderId="5" xfId="374" applyNumberFormat="1" applyFont="1" applyFill="1" applyBorder="1">
      <alignment horizontal="center" vertical="center" wrapText="1"/>
    </xf>
    <xf numFmtId="167" fontId="35" fillId="0" borderId="32" xfId="35" applyNumberFormat="1" applyFont="1" applyFill="1" applyBorder="1" applyAlignment="1">
      <alignment horizontal="center" vertical="center" wrapText="1"/>
    </xf>
    <xf numFmtId="167" fontId="15" fillId="0" borderId="19" xfId="372" applyFont="1" applyFill="1" applyBorder="1" applyAlignment="1">
      <alignment horizontal="center" vertical="center" wrapText="1"/>
    </xf>
    <xf numFmtId="167" fontId="15" fillId="0" borderId="32" xfId="372" applyFont="1" applyFill="1" applyBorder="1" applyAlignment="1">
      <alignment horizontal="center" vertical="center" wrapText="1"/>
    </xf>
    <xf numFmtId="164" fontId="15" fillId="0" borderId="33" xfId="35" applyNumberFormat="1" applyFont="1" applyFill="1" applyBorder="1" applyAlignment="1">
      <alignment horizontal="center" vertical="center" wrapText="1"/>
    </xf>
    <xf numFmtId="184" fontId="35" fillId="0" borderId="5" xfId="372" applyNumberFormat="1" applyFont="1" applyFill="1" applyBorder="1" applyAlignment="1">
      <alignment horizontal="center" vertical="center"/>
    </xf>
    <xf numFmtId="167" fontId="15" fillId="0" borderId="33" xfId="372" applyFont="1" applyFill="1" applyBorder="1" applyAlignment="1">
      <alignment horizontal="center" vertical="center" wrapText="1"/>
    </xf>
    <xf numFmtId="167" fontId="15" fillId="0" borderId="34" xfId="372" applyFont="1" applyFill="1" applyBorder="1" applyAlignment="1">
      <alignment horizontal="center" vertical="center" wrapText="1"/>
    </xf>
    <xf numFmtId="167" fontId="15" fillId="0" borderId="23" xfId="372" applyFont="1" applyFill="1" applyBorder="1" applyAlignment="1">
      <alignment horizontal="center" vertical="center" wrapText="1"/>
    </xf>
    <xf numFmtId="167" fontId="15" fillId="0" borderId="31" xfId="372" applyFont="1" applyFill="1" applyBorder="1" applyAlignment="1">
      <alignment horizontal="center" vertical="center" wrapText="1"/>
    </xf>
    <xf numFmtId="167" fontId="15" fillId="0" borderId="30" xfId="35" applyNumberFormat="1" applyFont="1" applyFill="1" applyBorder="1" applyAlignment="1">
      <alignment horizontal="center" vertical="center" wrapText="1"/>
    </xf>
    <xf numFmtId="167" fontId="15" fillId="0" borderId="25" xfId="35" applyNumberFormat="1" applyFont="1" applyFill="1" applyBorder="1" applyAlignment="1">
      <alignment horizontal="center" vertical="center" wrapText="1"/>
    </xf>
    <xf numFmtId="164" fontId="15" fillId="0" borderId="25" xfId="35" applyNumberFormat="1" applyFont="1" applyFill="1" applyBorder="1" applyAlignment="1">
      <alignment horizontal="center" vertical="center" wrapText="1"/>
    </xf>
    <xf numFmtId="184" fontId="35" fillId="0" borderId="5" xfId="372" applyNumberFormat="1" applyFont="1" applyFill="1" applyBorder="1" applyAlignment="1">
      <alignment horizontal="center" vertical="center" wrapText="1"/>
    </xf>
    <xf numFmtId="184" fontId="11" fillId="0" borderId="13" xfId="372" applyNumberFormat="1" applyFont="1" applyFill="1" applyBorder="1" applyAlignment="1">
      <alignment horizontal="center" vertical="center" wrapText="1"/>
    </xf>
    <xf numFmtId="167" fontId="11" fillId="0" borderId="13" xfId="372" applyFont="1" applyFill="1" applyBorder="1" applyAlignment="1">
      <alignment horizontal="center" vertical="center" wrapText="1"/>
    </xf>
    <xf numFmtId="164" fontId="15" fillId="0" borderId="13" xfId="35" applyNumberFormat="1" applyFont="1" applyFill="1" applyBorder="1" applyAlignment="1">
      <alignment horizontal="center" vertical="center" wrapText="1"/>
    </xf>
    <xf numFmtId="184" fontId="11" fillId="0" borderId="5" xfId="372" applyNumberFormat="1" applyFont="1" applyFill="1" applyBorder="1" applyAlignment="1">
      <alignment horizontal="center" vertical="center" wrapText="1"/>
    </xf>
    <xf numFmtId="167" fontId="11" fillId="0" borderId="5" xfId="372" applyFont="1" applyFill="1" applyBorder="1" applyAlignment="1">
      <alignment horizontal="center" vertical="center" wrapText="1"/>
    </xf>
    <xf numFmtId="164" fontId="15" fillId="0" borderId="5" xfId="35" applyNumberFormat="1" applyFont="1" applyFill="1" applyBorder="1" applyAlignment="1">
      <alignment horizontal="center" vertical="center" wrapText="1"/>
    </xf>
    <xf numFmtId="167" fontId="35" fillId="0" borderId="5" xfId="372" applyFont="1" applyFill="1" applyBorder="1" applyAlignment="1">
      <alignment horizontal="center" vertical="center" wrapText="1"/>
    </xf>
    <xf numFmtId="167" fontId="15" fillId="0" borderId="13" xfId="35" applyNumberFormat="1" applyFont="1" applyFill="1" applyBorder="1" applyAlignment="1">
      <alignment horizontal="center" vertical="center" wrapText="1"/>
    </xf>
    <xf numFmtId="184" fontId="15" fillId="0" borderId="11" xfId="372" applyNumberFormat="1" applyFont="1" applyFill="1" applyBorder="1" applyAlignment="1">
      <alignment horizontal="center" vertical="center" wrapText="1"/>
    </xf>
    <xf numFmtId="184" fontId="15" fillId="0" borderId="19" xfId="372" applyNumberFormat="1" applyFont="1" applyFill="1" applyBorder="1" applyAlignment="1">
      <alignment horizontal="center" vertical="center" wrapText="1"/>
    </xf>
    <xf numFmtId="167" fontId="11" fillId="0" borderId="12" xfId="372" applyFont="1" applyFill="1" applyBorder="1" applyAlignment="1">
      <alignment horizontal="center" vertical="center" wrapText="1"/>
    </xf>
    <xf numFmtId="167" fontId="15" fillId="0" borderId="5" xfId="372" applyFont="1" applyFill="1" applyBorder="1" applyAlignment="1">
      <alignment horizontal="center" vertical="center" wrapText="1"/>
    </xf>
    <xf numFmtId="184" fontId="15" fillId="0" borderId="29" xfId="372" applyNumberFormat="1" applyFont="1" applyFill="1" applyBorder="1" applyAlignment="1">
      <alignment horizontal="center" vertical="center" wrapText="1"/>
    </xf>
    <xf numFmtId="167" fontId="15" fillId="0" borderId="29" xfId="372" applyFont="1" applyFill="1" applyBorder="1" applyAlignment="1">
      <alignment horizontal="center" vertical="center" wrapText="1"/>
    </xf>
    <xf numFmtId="164" fontId="15" fillId="0" borderId="29" xfId="35" applyNumberFormat="1" applyFont="1" applyFill="1" applyBorder="1" applyAlignment="1">
      <alignment horizontal="center" vertical="center" wrapText="1"/>
    </xf>
    <xf numFmtId="184" fontId="15" fillId="0" borderId="5" xfId="35" applyNumberFormat="1" applyFont="1" applyFill="1" applyBorder="1" applyAlignment="1">
      <alignment horizontal="center" vertical="center" wrapText="1"/>
    </xf>
    <xf numFmtId="167" fontId="15" fillId="0" borderId="23" xfId="35" applyNumberFormat="1" applyFont="1" applyFill="1" applyBorder="1" applyAlignment="1">
      <alignment horizontal="center" vertical="center" wrapText="1"/>
    </xf>
    <xf numFmtId="167" fontId="15" fillId="0" borderId="26" xfId="35" applyNumberFormat="1" applyFont="1" applyFill="1" applyBorder="1" applyAlignment="1">
      <alignment horizontal="center" vertical="center" wrapText="1"/>
    </xf>
    <xf numFmtId="0" fontId="15" fillId="0" borderId="8" xfId="374" applyNumberFormat="1" applyFont="1" applyFill="1" applyBorder="1" applyAlignment="1">
      <alignment horizontal="justify" vertical="center" wrapText="1"/>
    </xf>
    <xf numFmtId="167" fontId="15" fillId="0" borderId="19" xfId="375" applyNumberFormat="1" applyFont="1" applyFill="1" applyBorder="1" applyAlignment="1">
      <alignment horizontal="center" vertical="center" wrapText="1"/>
    </xf>
    <xf numFmtId="164" fontId="15" fillId="0" borderId="32" xfId="375" applyNumberFormat="1" applyFont="1" applyFill="1" applyBorder="1" applyAlignment="1">
      <alignment horizontal="right" vertical="center" wrapText="1"/>
    </xf>
    <xf numFmtId="167" fontId="15" fillId="0" borderId="12" xfId="35" applyNumberFormat="1" applyFont="1" applyFill="1" applyBorder="1" applyAlignment="1">
      <alignment horizontal="center" vertical="center" wrapText="1"/>
    </xf>
    <xf numFmtId="167" fontId="15" fillId="0" borderId="11" xfId="35" applyNumberFormat="1" applyFont="1" applyFill="1" applyBorder="1" applyAlignment="1">
      <alignment horizontal="center" vertical="center" wrapText="1"/>
    </xf>
    <xf numFmtId="0" fontId="15" fillId="0" borderId="5" xfId="374" applyNumberFormat="1" applyFont="1" applyFill="1" applyBorder="1" applyAlignment="1">
      <alignment horizontal="justify" vertical="center" wrapText="1"/>
    </xf>
    <xf numFmtId="167" fontId="15" fillId="0" borderId="5" xfId="35" applyNumberFormat="1" applyFont="1" applyFill="1" applyBorder="1" applyAlignment="1">
      <alignment horizontal="center" vertical="center" wrapText="1"/>
    </xf>
    <xf numFmtId="167" fontId="15" fillId="0" borderId="29" xfId="35" applyNumberFormat="1" applyFont="1" applyFill="1" applyBorder="1" applyAlignment="1">
      <alignment horizontal="center" vertical="center" wrapText="1"/>
    </xf>
    <xf numFmtId="167" fontId="15" fillId="0" borderId="32" xfId="35" applyNumberFormat="1" applyFont="1" applyFill="1" applyBorder="1" applyAlignment="1">
      <alignment horizontal="center" vertical="center" wrapText="1"/>
    </xf>
    <xf numFmtId="0" fontId="0" fillId="0" borderId="5" xfId="371" applyFont="1" applyBorder="1" applyAlignment="1">
      <alignment horizontal="center" vertical="center" wrapText="1"/>
    </xf>
    <xf numFmtId="184" fontId="11" fillId="0" borderId="11" xfId="372" applyNumberFormat="1" applyFont="1" applyFill="1" applyBorder="1" applyAlignment="1">
      <alignment horizontal="center" vertical="center" wrapText="1"/>
    </xf>
    <xf numFmtId="167" fontId="11" fillId="0" borderId="11" xfId="372" applyFont="1" applyFill="1" applyBorder="1" applyAlignment="1">
      <alignment horizontal="center" vertical="center" wrapText="1"/>
    </xf>
    <xf numFmtId="0" fontId="11" fillId="7" borderId="5" xfId="371" applyFill="1" applyBorder="1"/>
    <xf numFmtId="0" fontId="12" fillId="7" borderId="5" xfId="371" applyFont="1" applyFill="1" applyBorder="1" applyAlignment="1">
      <alignment horizontal="center" vertical="center" wrapText="1"/>
    </xf>
    <xf numFmtId="1" fontId="12" fillId="7" borderId="5" xfId="371" applyNumberFormat="1" applyFont="1" applyFill="1" applyBorder="1" applyAlignment="1">
      <alignment horizontal="justify" vertical="center" wrapText="1"/>
    </xf>
    <xf numFmtId="0" fontId="12" fillId="7" borderId="5" xfId="371" applyFont="1" applyFill="1" applyBorder="1" applyAlignment="1">
      <alignment horizontal="justify" vertical="center" wrapText="1"/>
    </xf>
    <xf numFmtId="0" fontId="11" fillId="7" borderId="5" xfId="371" applyFill="1" applyBorder="1" applyAlignment="1">
      <alignment horizontal="center" vertical="center"/>
    </xf>
    <xf numFmtId="49" fontId="12" fillId="7" borderId="5" xfId="371" applyNumberFormat="1" applyFont="1" applyFill="1" applyBorder="1" applyAlignment="1">
      <alignment horizontal="justify" vertical="center" wrapText="1"/>
    </xf>
    <xf numFmtId="0" fontId="27" fillId="7" borderId="15" xfId="371" applyFont="1" applyFill="1" applyBorder="1" applyAlignment="1">
      <alignment horizontal="right" vertical="center"/>
    </xf>
    <xf numFmtId="167" fontId="27" fillId="7" borderId="36" xfId="372" applyFont="1" applyFill="1" applyBorder="1" applyAlignment="1">
      <alignment vertical="center"/>
    </xf>
    <xf numFmtId="43" fontId="27" fillId="7" borderId="15" xfId="35" applyFont="1" applyFill="1" applyBorder="1" applyAlignment="1">
      <alignment vertical="center"/>
    </xf>
    <xf numFmtId="0" fontId="11" fillId="7" borderId="15" xfId="371" applyFill="1" applyBorder="1"/>
    <xf numFmtId="0" fontId="11" fillId="7" borderId="24" xfId="371" applyFill="1" applyBorder="1"/>
    <xf numFmtId="14" fontId="3" fillId="7" borderId="5" xfId="371" applyNumberFormat="1" applyFont="1" applyFill="1" applyBorder="1"/>
    <xf numFmtId="167" fontId="27" fillId="0" borderId="0" xfId="372" applyFont="1" applyFill="1" applyBorder="1" applyAlignment="1">
      <alignment vertical="center"/>
    </xf>
    <xf numFmtId="0" fontId="5" fillId="0" borderId="0" xfId="371" applyFont="1"/>
    <xf numFmtId="167" fontId="5" fillId="0" borderId="0" xfId="372" applyFont="1"/>
    <xf numFmtId="0" fontId="8" fillId="0" borderId="0" xfId="371" applyFont="1"/>
    <xf numFmtId="0" fontId="13" fillId="0" borderId="0" xfId="371" applyFont="1"/>
    <xf numFmtId="167" fontId="0" fillId="0" borderId="0" xfId="372" applyFont="1"/>
    <xf numFmtId="0" fontId="9" fillId="0" borderId="0" xfId="371" applyFont="1"/>
    <xf numFmtId="0" fontId="4" fillId="6" borderId="13" xfId="1" applyFont="1" applyFill="1" applyBorder="1" applyAlignment="1">
      <alignment horizontal="center" vertical="center" wrapText="1"/>
    </xf>
    <xf numFmtId="168" fontId="4" fillId="6" borderId="13" xfId="1" applyNumberFormat="1" applyFont="1" applyFill="1" applyBorder="1" applyAlignment="1">
      <alignment horizontal="center" vertical="center" wrapText="1"/>
    </xf>
    <xf numFmtId="168" fontId="4" fillId="6" borderId="5" xfId="20" applyNumberFormat="1" applyFont="1" applyFill="1" applyBorder="1" applyAlignment="1">
      <alignment horizontal="center" vertical="center" wrapText="1"/>
    </xf>
    <xf numFmtId="1" fontId="15" fillId="0" borderId="5" xfId="8" applyNumberFormat="1" applyFont="1" applyFill="1" applyBorder="1" applyAlignment="1">
      <alignment horizontal="center" vertical="center" wrapText="1"/>
    </xf>
    <xf numFmtId="167" fontId="15" fillId="0" borderId="5" xfId="367" applyFont="1" applyFill="1" applyBorder="1" applyAlignment="1">
      <alignment vertical="center" wrapText="1"/>
    </xf>
    <xf numFmtId="164" fontId="15" fillId="0" borderId="5" xfId="367" applyNumberFormat="1" applyFont="1" applyFill="1" applyBorder="1" applyAlignment="1">
      <alignment vertical="center" wrapText="1"/>
    </xf>
    <xf numFmtId="167" fontId="15" fillId="0" borderId="5" xfId="18" applyNumberFormat="1" applyFont="1" applyFill="1" applyBorder="1" applyAlignment="1">
      <alignment horizontal="justify" vertical="center" wrapText="1"/>
    </xf>
    <xf numFmtId="167" fontId="0" fillId="0" borderId="5" xfId="18" applyNumberFormat="1" applyFont="1" applyFill="1" applyBorder="1" applyAlignment="1">
      <alignment horizontal="justify" vertical="center" wrapText="1"/>
    </xf>
    <xf numFmtId="0" fontId="0" fillId="0" borderId="5" xfId="0" applyBorder="1" applyAlignment="1">
      <alignment horizontal="center" vertical="center"/>
    </xf>
    <xf numFmtId="187" fontId="0" fillId="0" borderId="5" xfId="0" applyNumberFormat="1" applyBorder="1" applyAlignment="1">
      <alignment horizontal="center" vertical="center"/>
    </xf>
    <xf numFmtId="0" fontId="35" fillId="0" borderId="5" xfId="0" applyFont="1" applyBorder="1" applyAlignment="1">
      <alignment horizontal="left" vertical="center" wrapText="1"/>
    </xf>
    <xf numFmtId="0" fontId="3" fillId="0" borderId="5" xfId="0" applyFont="1" applyBorder="1" applyAlignment="1">
      <alignment horizontal="left" vertical="center" wrapText="1"/>
    </xf>
    <xf numFmtId="167" fontId="3" fillId="0" borderId="5" xfId="18" applyNumberFormat="1" applyFont="1" applyFill="1" applyBorder="1" applyAlignment="1">
      <alignment horizontal="justify" vertical="center" wrapText="1"/>
    </xf>
    <xf numFmtId="0" fontId="3" fillId="9" borderId="5" xfId="0" applyFont="1" applyFill="1" applyBorder="1" applyAlignment="1">
      <alignment horizontal="left" vertical="center" wrapText="1"/>
    </xf>
    <xf numFmtId="167" fontId="0" fillId="0" borderId="5" xfId="367" applyFont="1" applyFill="1" applyBorder="1" applyAlignment="1">
      <alignment vertical="center" wrapText="1"/>
    </xf>
    <xf numFmtId="167" fontId="35" fillId="0" borderId="5" xfId="367" applyFont="1" applyFill="1" applyBorder="1" applyAlignment="1">
      <alignment vertical="center" wrapText="1"/>
    </xf>
    <xf numFmtId="167" fontId="35" fillId="0" borderId="13" xfId="367" applyFont="1" applyFill="1" applyBorder="1" applyAlignment="1">
      <alignment vertical="center" wrapText="1"/>
    </xf>
    <xf numFmtId="167" fontId="15" fillId="0" borderId="13" xfId="367" applyFont="1" applyFill="1" applyBorder="1" applyAlignment="1">
      <alignment vertical="center" wrapText="1"/>
    </xf>
    <xf numFmtId="0" fontId="12" fillId="7" borderId="5" xfId="0" applyFont="1" applyFill="1" applyBorder="1" applyAlignment="1">
      <alignment horizontal="center" vertical="center" wrapText="1"/>
    </xf>
    <xf numFmtId="1" fontId="12" fillId="7" borderId="5" xfId="0" applyNumberFormat="1" applyFont="1" applyFill="1" applyBorder="1" applyAlignment="1">
      <alignment horizontal="justify" vertical="center" wrapText="1"/>
    </xf>
    <xf numFmtId="0" fontId="12" fillId="7" borderId="5" xfId="0" applyFont="1" applyFill="1" applyBorder="1" applyAlignment="1">
      <alignment horizontal="justify" vertical="center" wrapText="1"/>
    </xf>
    <xf numFmtId="0" fontId="0" fillId="7" borderId="5" xfId="0" applyFill="1" applyBorder="1" applyAlignment="1">
      <alignment horizontal="center" vertical="center"/>
    </xf>
    <xf numFmtId="49" fontId="12" fillId="7" borderId="5" xfId="0" applyNumberFormat="1" applyFont="1" applyFill="1" applyBorder="1" applyAlignment="1">
      <alignment horizontal="justify" vertical="center" wrapText="1"/>
    </xf>
    <xf numFmtId="43" fontId="27" fillId="7" borderId="16" xfId="369" applyFont="1" applyFill="1" applyBorder="1" applyAlignment="1">
      <alignment vertical="center"/>
    </xf>
    <xf numFmtId="43" fontId="27" fillId="7" borderId="15" xfId="369" applyFont="1" applyFill="1" applyBorder="1" applyAlignment="1">
      <alignment vertical="center"/>
    </xf>
    <xf numFmtId="14" fontId="3" fillId="7" borderId="5" xfId="0" applyNumberFormat="1" applyFont="1" applyFill="1" applyBorder="1"/>
    <xf numFmtId="43" fontId="5" fillId="0" borderId="0" xfId="0" applyNumberFormat="1" applyFont="1"/>
    <xf numFmtId="0" fontId="27" fillId="0" borderId="0" xfId="0" applyFont="1" applyAlignment="1">
      <alignment horizontal="center"/>
    </xf>
    <xf numFmtId="0" fontId="6" fillId="0" borderId="5" xfId="0" applyFont="1" applyBorder="1"/>
    <xf numFmtId="167" fontId="7" fillId="3" borderId="3" xfId="367" applyFont="1" applyFill="1" applyBorder="1" applyAlignment="1">
      <alignment horizontal="center" vertical="center"/>
    </xf>
    <xf numFmtId="167" fontId="7" fillId="3" borderId="1" xfId="367" applyFont="1" applyFill="1" applyBorder="1" applyAlignment="1">
      <alignment horizontal="center" vertical="center"/>
    </xf>
    <xf numFmtId="1" fontId="2" fillId="6" borderId="5" xfId="1" applyNumberFormat="1" applyFont="1" applyFill="1" applyBorder="1" applyAlignment="1" applyProtection="1">
      <alignment horizontal="center" vertical="center" wrapText="1"/>
      <protection locked="0"/>
    </xf>
    <xf numFmtId="167" fontId="4" fillId="6" borderId="5" xfId="367" applyFont="1" applyFill="1" applyBorder="1" applyAlignment="1">
      <alignment horizontal="center" vertical="center" wrapText="1"/>
    </xf>
    <xf numFmtId="167" fontId="28" fillId="0" borderId="5" xfId="367" applyFont="1" applyFill="1" applyBorder="1" applyAlignment="1">
      <alignment horizontal="center" vertical="center" wrapText="1"/>
    </xf>
    <xf numFmtId="0" fontId="5" fillId="9" borderId="5" xfId="0" applyFont="1" applyFill="1" applyBorder="1" applyAlignment="1">
      <alignment horizontal="center" vertical="center" wrapText="1"/>
    </xf>
    <xf numFmtId="1" fontId="28" fillId="0" borderId="5" xfId="3" applyNumberFormat="1" applyFont="1" applyFill="1" applyBorder="1">
      <alignment horizontal="center" vertical="center" wrapText="1"/>
    </xf>
    <xf numFmtId="167" fontId="5" fillId="0" borderId="5" xfId="367" applyFont="1" applyFill="1" applyBorder="1" applyAlignment="1">
      <alignment horizontal="center" vertical="center"/>
    </xf>
    <xf numFmtId="1" fontId="28" fillId="0" borderId="5" xfId="0" applyNumberFormat="1" applyFont="1" applyBorder="1" applyAlignment="1">
      <alignment horizontal="center" vertical="center" wrapText="1"/>
    </xf>
    <xf numFmtId="0" fontId="28" fillId="0" borderId="8" xfId="0" applyFont="1" applyBorder="1" applyAlignment="1">
      <alignment horizontal="justify" vertical="center" wrapText="1"/>
    </xf>
    <xf numFmtId="49" fontId="28" fillId="0" borderId="5" xfId="0" applyNumberFormat="1" applyFont="1" applyBorder="1" applyAlignment="1">
      <alignment horizontal="center" vertical="center" wrapText="1"/>
    </xf>
    <xf numFmtId="0" fontId="16" fillId="0" borderId="5" xfId="1" applyFont="1" applyBorder="1" applyAlignment="1">
      <alignment horizontal="center" vertical="center" wrapText="1"/>
    </xf>
    <xf numFmtId="0" fontId="28" fillId="0" borderId="5" xfId="0" applyFont="1" applyBorder="1" applyAlignment="1">
      <alignment horizontal="justify" vertical="center" wrapText="1"/>
    </xf>
    <xf numFmtId="0" fontId="5" fillId="0" borderId="5" xfId="0" applyFont="1" applyBorder="1" applyAlignment="1">
      <alignment horizontal="center" vertical="center" wrapText="1"/>
    </xf>
    <xf numFmtId="0" fontId="28" fillId="0" borderId="5" xfId="0" applyFont="1" applyBorder="1" applyAlignment="1">
      <alignment horizontal="center" vertical="center" wrapText="1"/>
    </xf>
    <xf numFmtId="181" fontId="5" fillId="0" borderId="5" xfId="7" applyNumberFormat="1" applyFont="1" applyFill="1" applyBorder="1" applyAlignment="1">
      <alignment horizontal="center" vertical="center" wrapText="1"/>
    </xf>
    <xf numFmtId="167" fontId="5" fillId="0" borderId="5" xfId="367" applyFont="1" applyFill="1" applyBorder="1" applyAlignment="1">
      <alignment horizontal="center" vertical="center" wrapText="1"/>
    </xf>
    <xf numFmtId="0" fontId="16" fillId="0" borderId="5" xfId="244" quotePrefix="1" applyFont="1" applyBorder="1" applyAlignment="1">
      <alignment horizontal="center" vertical="center" wrapText="1"/>
    </xf>
    <xf numFmtId="0" fontId="16" fillId="0" borderId="5" xfId="1" applyFont="1" applyBorder="1" applyAlignment="1">
      <alignment horizontal="center" vertical="center" textRotation="90" wrapText="1"/>
    </xf>
    <xf numFmtId="49" fontId="16" fillId="0" borderId="5" xfId="1" applyNumberFormat="1" applyFont="1" applyBorder="1" applyAlignment="1">
      <alignment horizontal="center" vertical="center" textRotation="90" wrapText="1"/>
    </xf>
    <xf numFmtId="14" fontId="16" fillId="0" borderId="13" xfId="1" applyNumberFormat="1" applyFont="1" applyBorder="1" applyAlignment="1">
      <alignment horizontal="center" vertical="center" wrapText="1"/>
    </xf>
    <xf numFmtId="0" fontId="16" fillId="0" borderId="13" xfId="1" applyFont="1" applyBorder="1" applyAlignment="1">
      <alignment horizontal="center" vertical="center" wrapText="1"/>
    </xf>
    <xf numFmtId="1" fontId="28" fillId="0" borderId="5" xfId="26" applyNumberFormat="1" applyFont="1" applyFill="1" applyBorder="1">
      <alignment horizontal="center" vertical="center" wrapText="1"/>
    </xf>
    <xf numFmtId="1" fontId="28" fillId="0" borderId="5" xfId="35" applyNumberFormat="1" applyFont="1" applyFill="1" applyBorder="1" applyAlignment="1">
      <alignment horizontal="center" vertical="center" wrapText="1"/>
    </xf>
    <xf numFmtId="1" fontId="5" fillId="0" borderId="5" xfId="3" applyNumberFormat="1" applyFont="1" applyFill="1" applyBorder="1">
      <alignment horizontal="center" vertical="center" wrapText="1"/>
    </xf>
    <xf numFmtId="1" fontId="12" fillId="9" borderId="5" xfId="3" applyNumberFormat="1" applyFont="1" applyFill="1" applyBorder="1">
      <alignment horizontal="center" vertical="center" wrapText="1"/>
    </xf>
    <xf numFmtId="1" fontId="0" fillId="7" borderId="15" xfId="0" applyNumberFormat="1" applyFill="1" applyBorder="1"/>
    <xf numFmtId="167" fontId="13" fillId="7" borderId="16" xfId="367" applyFont="1" applyFill="1" applyBorder="1" applyAlignment="1">
      <alignment vertical="center"/>
    </xf>
    <xf numFmtId="167" fontId="13" fillId="7" borderId="15" xfId="367" applyFont="1" applyFill="1" applyBorder="1" applyAlignment="1">
      <alignment vertical="center"/>
    </xf>
    <xf numFmtId="1" fontId="5" fillId="0" borderId="0" xfId="0" applyNumberFormat="1" applyFont="1"/>
    <xf numFmtId="167" fontId="5" fillId="0" borderId="0" xfId="367" applyFont="1"/>
    <xf numFmtId="167" fontId="5" fillId="0" borderId="0" xfId="367" applyFont="1" applyAlignment="1">
      <alignment horizontal="center" vertical="center" wrapText="1"/>
    </xf>
    <xf numFmtId="167" fontId="5" fillId="0" borderId="0" xfId="367" applyFont="1" applyAlignment="1">
      <alignment horizontal="center" vertical="center"/>
    </xf>
    <xf numFmtId="167" fontId="0" fillId="0" borderId="0" xfId="367" applyFont="1"/>
    <xf numFmtId="1" fontId="0" fillId="0" borderId="0" xfId="0" applyNumberFormat="1"/>
    <xf numFmtId="14" fontId="0" fillId="0" borderId="0" xfId="0" applyNumberFormat="1"/>
    <xf numFmtId="14" fontId="2" fillId="0" borderId="10" xfId="0" applyNumberFormat="1" applyFont="1" applyBorder="1" applyAlignment="1" applyProtection="1">
      <alignment horizontal="center" vertical="center"/>
      <protection locked="0"/>
    </xf>
    <xf numFmtId="14" fontId="3" fillId="0" borderId="10" xfId="0" applyNumberFormat="1" applyFont="1" applyBorder="1" applyAlignment="1" applyProtection="1">
      <alignment horizontal="center" vertical="center"/>
      <protection locked="0"/>
    </xf>
    <xf numFmtId="14" fontId="2" fillId="0" borderId="3" xfId="0" applyNumberFormat="1" applyFont="1" applyBorder="1" applyAlignment="1" applyProtection="1">
      <alignment vertical="center"/>
      <protection locked="0"/>
    </xf>
    <xf numFmtId="0" fontId="12" fillId="0" borderId="5" xfId="0" applyFont="1" applyBorder="1" applyAlignment="1">
      <alignment horizontal="justify" vertical="center"/>
    </xf>
    <xf numFmtId="0" fontId="12" fillId="0" borderId="5" xfId="0" applyFont="1" applyBorder="1" applyAlignment="1">
      <alignment horizontal="center" vertical="center"/>
    </xf>
    <xf numFmtId="1" fontId="12" fillId="9" borderId="5" xfId="0" applyNumberFormat="1" applyFont="1" applyFill="1" applyBorder="1" applyAlignment="1">
      <alignment horizontal="center" vertical="center" wrapText="1"/>
    </xf>
    <xf numFmtId="173" fontId="11" fillId="0" borderId="5" xfId="10" applyFont="1" applyFill="1" applyBorder="1" applyAlignment="1">
      <alignment horizontal="center" vertical="center" wrapText="1"/>
    </xf>
    <xf numFmtId="0" fontId="7" fillId="43" borderId="5" xfId="1" applyFont="1" applyFill="1" applyBorder="1" applyAlignment="1">
      <alignment horizontal="center" vertical="center" wrapText="1"/>
    </xf>
    <xf numFmtId="14" fontId="7" fillId="47" borderId="13" xfId="1" applyNumberFormat="1" applyFont="1" applyFill="1" applyBorder="1" applyAlignment="1">
      <alignment horizontal="center" vertical="center" wrapText="1"/>
    </xf>
    <xf numFmtId="173" fontId="0" fillId="0" borderId="5" xfId="10" applyFont="1" applyFill="1" applyBorder="1" applyAlignment="1">
      <alignment horizontal="center" vertical="center" wrapText="1"/>
    </xf>
    <xf numFmtId="2" fontId="12" fillId="0" borderId="5" xfId="3" applyNumberFormat="1" applyFont="1" applyFill="1" applyBorder="1">
      <alignment horizontal="center" vertical="center" wrapText="1"/>
    </xf>
    <xf numFmtId="1" fontId="12" fillId="0" borderId="5" xfId="196" applyNumberFormat="1" applyFont="1" applyFill="1" applyBorder="1">
      <alignment horizontal="center" vertical="center" wrapText="1"/>
    </xf>
    <xf numFmtId="0" fontId="7" fillId="9" borderId="5" xfId="0" applyFont="1" applyFill="1" applyBorder="1" applyAlignment="1">
      <alignment vertical="center" wrapText="1"/>
    </xf>
    <xf numFmtId="0" fontId="0" fillId="7" borderId="39" xfId="0" applyFill="1" applyBorder="1"/>
    <xf numFmtId="0" fontId="27" fillId="7" borderId="24" xfId="0" applyFont="1" applyFill="1" applyBorder="1" applyAlignment="1">
      <alignment horizontal="right" vertical="center"/>
    </xf>
    <xf numFmtId="14" fontId="0" fillId="7" borderId="24" xfId="0" applyNumberFormat="1" applyFill="1" applyBorder="1"/>
    <xf numFmtId="0" fontId="0" fillId="7" borderId="40" xfId="0" applyFill="1" applyBorder="1"/>
    <xf numFmtId="14" fontId="5" fillId="0" borderId="0" xfId="0" applyNumberFormat="1" applyFont="1"/>
    <xf numFmtId="184" fontId="4" fillId="6" borderId="5" xfId="1" applyNumberFormat="1" applyFont="1" applyFill="1" applyBorder="1" applyAlignment="1">
      <alignment horizontal="center" vertical="center" wrapText="1"/>
    </xf>
    <xf numFmtId="1" fontId="12" fillId="9" borderId="13" xfId="0" applyNumberFormat="1" applyFont="1" applyFill="1" applyBorder="1" applyAlignment="1">
      <alignment horizontal="center" vertical="center" wrapText="1"/>
    </xf>
    <xf numFmtId="0" fontId="12" fillId="9" borderId="13" xfId="0" applyFont="1" applyFill="1" applyBorder="1" applyAlignment="1">
      <alignment horizontal="center" vertical="center" wrapText="1"/>
    </xf>
    <xf numFmtId="1" fontId="12" fillId="9" borderId="6" xfId="0" applyNumberFormat="1" applyFont="1" applyFill="1" applyBorder="1" applyAlignment="1">
      <alignment horizontal="center" vertical="center" wrapText="1"/>
    </xf>
    <xf numFmtId="0" fontId="2" fillId="43" borderId="13" xfId="1" applyFont="1" applyFill="1" applyBorder="1" applyAlignment="1" applyProtection="1">
      <alignment horizontal="center" vertical="center" wrapText="1"/>
      <protection locked="0"/>
    </xf>
    <xf numFmtId="49" fontId="3" fillId="9" borderId="13" xfId="0" applyNumberFormat="1" applyFont="1" applyFill="1" applyBorder="1" applyAlignment="1">
      <alignment horizontal="left" vertical="center"/>
    </xf>
    <xf numFmtId="0" fontId="3" fillId="9" borderId="13" xfId="0" applyFont="1" applyFill="1" applyBorder="1" applyAlignment="1">
      <alignment horizontal="justify" vertical="center" wrapText="1"/>
    </xf>
    <xf numFmtId="0" fontId="12" fillId="9" borderId="5" xfId="0" applyFont="1" applyFill="1" applyBorder="1" applyAlignment="1">
      <alignment horizontal="left" vertical="center" wrapText="1"/>
    </xf>
    <xf numFmtId="184" fontId="0" fillId="9" borderId="5" xfId="0" applyNumberFormat="1" applyFill="1" applyBorder="1" applyAlignment="1">
      <alignment horizontal="center" vertical="center"/>
    </xf>
    <xf numFmtId="171" fontId="12" fillId="9" borderId="5" xfId="0" applyNumberFormat="1" applyFont="1" applyFill="1" applyBorder="1" applyAlignment="1">
      <alignment horizontal="center" vertical="center" wrapText="1"/>
    </xf>
    <xf numFmtId="3" fontId="3" fillId="9" borderId="5" xfId="0" applyNumberFormat="1" applyFont="1" applyFill="1" applyBorder="1" applyAlignment="1">
      <alignment horizontal="right" vertical="center"/>
    </xf>
    <xf numFmtId="0" fontId="3" fillId="9" borderId="5" xfId="0" applyFont="1" applyFill="1" applyBorder="1" applyAlignment="1">
      <alignment horizontal="right" vertical="center"/>
    </xf>
    <xf numFmtId="3" fontId="12" fillId="9" borderId="5" xfId="11" applyNumberFormat="1" applyFont="1" applyFill="1" applyBorder="1" applyAlignment="1">
      <alignment horizontal="center" vertical="center" wrapText="1"/>
    </xf>
    <xf numFmtId="171" fontId="3" fillId="9" borderId="5" xfId="0" applyNumberFormat="1" applyFont="1" applyFill="1" applyBorder="1" applyAlignment="1">
      <alignment horizontal="center" vertical="center" wrapText="1"/>
    </xf>
    <xf numFmtId="184" fontId="3" fillId="9" borderId="5" xfId="18" applyNumberFormat="1" applyFont="1" applyFill="1" applyBorder="1" applyAlignment="1">
      <alignment horizontal="center" vertical="center" wrapText="1"/>
    </xf>
    <xf numFmtId="0" fontId="12" fillId="9" borderId="5" xfId="0" applyFont="1" applyFill="1" applyBorder="1" applyAlignment="1">
      <alignment horizontal="center" vertical="center" wrapText="1"/>
    </xf>
    <xf numFmtId="1" fontId="12" fillId="9" borderId="8" xfId="0" applyNumberFormat="1" applyFont="1" applyFill="1" applyBorder="1" applyAlignment="1">
      <alignment horizontal="center" vertical="center" wrapText="1"/>
    </xf>
    <xf numFmtId="0" fontId="3" fillId="9" borderId="5" xfId="0" applyFont="1" applyFill="1" applyBorder="1" applyAlignment="1">
      <alignment horizontal="center" vertical="center" wrapText="1"/>
    </xf>
    <xf numFmtId="0" fontId="3" fillId="9" borderId="5" xfId="0" applyFont="1" applyFill="1" applyBorder="1" applyAlignment="1">
      <alignment horizontal="center" vertical="center"/>
    </xf>
    <xf numFmtId="184" fontId="5" fillId="9" borderId="5" xfId="0" applyNumberFormat="1" applyFont="1" applyFill="1" applyBorder="1" applyAlignment="1">
      <alignment horizontal="center" vertical="center"/>
    </xf>
    <xf numFmtId="171" fontId="3" fillId="9" borderId="10" xfId="0" applyNumberFormat="1" applyFont="1" applyFill="1" applyBorder="1" applyAlignment="1">
      <alignment horizontal="center" vertical="center" wrapText="1"/>
    </xf>
    <xf numFmtId="184" fontId="5" fillId="9" borderId="5" xfId="18" applyNumberFormat="1" applyFont="1" applyFill="1" applyBorder="1" applyAlignment="1">
      <alignment horizontal="center" vertical="center" wrapText="1"/>
    </xf>
    <xf numFmtId="0" fontId="12" fillId="9" borderId="5" xfId="0" applyFont="1" applyFill="1" applyBorder="1" applyAlignment="1">
      <alignment horizontal="justify" vertical="center" wrapText="1"/>
    </xf>
    <xf numFmtId="184" fontId="3" fillId="9" borderId="5" xfId="0" applyNumberFormat="1" applyFont="1" applyFill="1" applyBorder="1" applyAlignment="1">
      <alignment horizontal="center" vertical="center"/>
    </xf>
    <xf numFmtId="171" fontId="3" fillId="9" borderId="41" xfId="0" applyNumberFormat="1" applyFont="1" applyFill="1" applyBorder="1" applyAlignment="1">
      <alignment horizontal="center" vertical="center" wrapText="1"/>
    </xf>
    <xf numFmtId="0" fontId="12" fillId="9" borderId="8" xfId="0" applyFont="1" applyFill="1" applyBorder="1" applyAlignment="1">
      <alignment horizontal="justify" vertical="center" wrapText="1"/>
    </xf>
    <xf numFmtId="1" fontId="12" fillId="9" borderId="11" xfId="0" applyNumberFormat="1" applyFont="1" applyFill="1" applyBorder="1" applyAlignment="1">
      <alignment horizontal="center" vertical="center" wrapText="1"/>
    </xf>
    <xf numFmtId="0" fontId="12" fillId="9" borderId="11" xfId="0" applyFont="1" applyFill="1" applyBorder="1" applyAlignment="1">
      <alignment horizontal="center" vertical="center" wrapText="1"/>
    </xf>
    <xf numFmtId="1" fontId="12" fillId="9" borderId="2" xfId="0" applyNumberFormat="1" applyFont="1" applyFill="1" applyBorder="1" applyAlignment="1">
      <alignment horizontal="center" vertical="center" wrapText="1"/>
    </xf>
    <xf numFmtId="0" fontId="12" fillId="9" borderId="5" xfId="0" applyFont="1" applyFill="1" applyBorder="1" applyAlignment="1">
      <alignment vertical="center" wrapText="1"/>
    </xf>
    <xf numFmtId="189" fontId="3" fillId="9" borderId="5" xfId="0" applyNumberFormat="1" applyFont="1" applyFill="1" applyBorder="1" applyAlignment="1">
      <alignment horizontal="right" vertical="center"/>
    </xf>
    <xf numFmtId="188" fontId="3" fillId="9" borderId="5" xfId="369" applyNumberFormat="1" applyFont="1" applyFill="1" applyBorder="1" applyAlignment="1">
      <alignment horizontal="right" vertical="center"/>
    </xf>
    <xf numFmtId="14" fontId="3" fillId="9" borderId="5" xfId="0" applyNumberFormat="1" applyFont="1" applyFill="1" applyBorder="1" applyAlignment="1">
      <alignment horizontal="center" vertical="center"/>
    </xf>
    <xf numFmtId="3" fontId="12" fillId="9" borderId="23" xfId="11" applyNumberFormat="1" applyFont="1" applyFill="1" applyBorder="1" applyAlignment="1">
      <alignment horizontal="center" vertical="center" wrapText="1"/>
    </xf>
    <xf numFmtId="171" fontId="3" fillId="9" borderId="19" xfId="0" applyNumberFormat="1" applyFont="1" applyFill="1" applyBorder="1" applyAlignment="1">
      <alignment horizontal="center" vertical="center" wrapText="1"/>
    </xf>
    <xf numFmtId="0" fontId="3" fillId="9" borderId="0" xfId="2" applyFont="1" applyFill="1" applyAlignment="1">
      <alignment vertical="center" wrapText="1"/>
    </xf>
    <xf numFmtId="171" fontId="3" fillId="9" borderId="32" xfId="0" applyNumberFormat="1" applyFont="1" applyFill="1" applyBorder="1" applyAlignment="1">
      <alignment horizontal="center" vertical="center" wrapText="1"/>
    </xf>
    <xf numFmtId="49" fontId="12" fillId="9" borderId="5" xfId="0" applyNumberFormat="1" applyFont="1" applyFill="1" applyBorder="1" applyAlignment="1">
      <alignment horizontal="center" vertical="center" wrapText="1"/>
    </xf>
    <xf numFmtId="49" fontId="12" fillId="9" borderId="5" xfId="0" applyNumberFormat="1" applyFont="1" applyFill="1" applyBorder="1" applyAlignment="1">
      <alignment horizontal="justify" vertical="center" wrapText="1"/>
    </xf>
    <xf numFmtId="14" fontId="3" fillId="9" borderId="11" xfId="0" applyNumberFormat="1" applyFont="1" applyFill="1" applyBorder="1" applyAlignment="1">
      <alignment horizontal="center" vertical="center"/>
    </xf>
    <xf numFmtId="0" fontId="12" fillId="9" borderId="11" xfId="0" applyFont="1" applyFill="1" applyBorder="1" applyAlignment="1">
      <alignment horizontal="justify" vertical="center" wrapText="1"/>
    </xf>
    <xf numFmtId="171" fontId="3" fillId="9" borderId="0" xfId="0" applyNumberFormat="1" applyFont="1" applyFill="1" applyAlignment="1">
      <alignment horizontal="center" vertical="center" wrapText="1"/>
    </xf>
    <xf numFmtId="49" fontId="12" fillId="9" borderId="11" xfId="0" applyNumberFormat="1" applyFont="1" applyFill="1" applyBorder="1" applyAlignment="1">
      <alignment horizontal="center" vertical="center" wrapText="1"/>
    </xf>
    <xf numFmtId="49" fontId="12" fillId="9" borderId="11" xfId="0" applyNumberFormat="1" applyFont="1" applyFill="1" applyBorder="1" applyAlignment="1">
      <alignment horizontal="justify" vertical="center" wrapText="1"/>
    </xf>
    <xf numFmtId="188" fontId="3" fillId="9" borderId="11" xfId="369" applyNumberFormat="1" applyFont="1" applyFill="1" applyBorder="1" applyAlignment="1">
      <alignment horizontal="right" vertical="center"/>
    </xf>
    <xf numFmtId="0" fontId="12" fillId="9" borderId="5" xfId="0" applyFont="1" applyFill="1" applyBorder="1" applyAlignment="1">
      <alignment horizontal="center" vertical="center"/>
    </xf>
    <xf numFmtId="0" fontId="3" fillId="9" borderId="5" xfId="0" applyFont="1" applyFill="1" applyBorder="1" applyAlignment="1">
      <alignment horizontal="justify" vertical="center" wrapText="1"/>
    </xf>
    <xf numFmtId="184" fontId="12" fillId="9" borderId="9" xfId="369" applyNumberFormat="1" applyFont="1" applyFill="1" applyBorder="1" applyAlignment="1">
      <alignment horizontal="center" vertical="center"/>
    </xf>
    <xf numFmtId="188" fontId="12" fillId="9" borderId="5" xfId="369" applyNumberFormat="1" applyFont="1" applyFill="1" applyBorder="1" applyAlignment="1">
      <alignment vertical="center"/>
    </xf>
    <xf numFmtId="0" fontId="3" fillId="9" borderId="10" xfId="0" applyFont="1" applyFill="1" applyBorder="1" applyAlignment="1">
      <alignment horizontal="center" vertical="center" wrapText="1"/>
    </xf>
    <xf numFmtId="49" fontId="12" fillId="9" borderId="23" xfId="0" applyNumberFormat="1" applyFont="1" applyFill="1" applyBorder="1" applyAlignment="1">
      <alignment horizontal="center" vertical="center"/>
    </xf>
    <xf numFmtId="0" fontId="12" fillId="9" borderId="23" xfId="0" applyFont="1" applyFill="1" applyBorder="1" applyAlignment="1">
      <alignment horizontal="center" vertical="center" wrapText="1"/>
    </xf>
    <xf numFmtId="49" fontId="12" fillId="9" borderId="34" xfId="0" applyNumberFormat="1" applyFont="1" applyFill="1" applyBorder="1" applyAlignment="1">
      <alignment horizontal="center" vertical="center" wrapText="1"/>
    </xf>
    <xf numFmtId="0" fontId="12" fillId="9" borderId="13" xfId="0" applyFont="1" applyFill="1" applyBorder="1" applyAlignment="1">
      <alignment horizontal="justify" vertical="center" wrapText="1"/>
    </xf>
    <xf numFmtId="49" fontId="12" fillId="9" borderId="13" xfId="0" applyNumberFormat="1" applyFont="1" applyFill="1" applyBorder="1" applyAlignment="1">
      <alignment horizontal="center" vertical="center" wrapText="1"/>
    </xf>
    <xf numFmtId="0" fontId="3" fillId="9" borderId="13" xfId="0" applyFont="1" applyFill="1" applyBorder="1" applyAlignment="1">
      <alignment horizontal="center" vertical="center"/>
    </xf>
    <xf numFmtId="184" fontId="3" fillId="9" borderId="6" xfId="0" applyNumberFormat="1" applyFont="1" applyFill="1" applyBorder="1" applyAlignment="1">
      <alignment horizontal="center" vertical="center"/>
    </xf>
    <xf numFmtId="3" fontId="3" fillId="9" borderId="5" xfId="0" applyNumberFormat="1" applyFont="1" applyFill="1" applyBorder="1" applyAlignment="1">
      <alignment vertical="center"/>
    </xf>
    <xf numFmtId="49" fontId="12" fillId="9" borderId="13" xfId="0" applyNumberFormat="1" applyFont="1" applyFill="1" applyBorder="1" applyAlignment="1">
      <alignment horizontal="justify" vertical="center" wrapText="1"/>
    </xf>
    <xf numFmtId="49" fontId="12" fillId="9" borderId="19" xfId="0" applyNumberFormat="1" applyFont="1" applyFill="1" applyBorder="1" applyAlignment="1">
      <alignment horizontal="center" vertical="center"/>
    </xf>
    <xf numFmtId="0" fontId="12" fillId="9" borderId="19" xfId="0" applyFont="1" applyFill="1" applyBorder="1" applyAlignment="1">
      <alignment horizontal="left" vertical="center" wrapText="1"/>
    </xf>
    <xf numFmtId="49" fontId="12" fillId="9" borderId="31" xfId="0" applyNumberFormat="1" applyFont="1" applyFill="1" applyBorder="1" applyAlignment="1">
      <alignment horizontal="center" vertical="center" wrapText="1"/>
    </xf>
    <xf numFmtId="184" fontId="3" fillId="9" borderId="8" xfId="0" applyNumberFormat="1" applyFont="1" applyFill="1" applyBorder="1" applyAlignment="1">
      <alignment horizontal="center" vertical="center"/>
    </xf>
    <xf numFmtId="0" fontId="3" fillId="9" borderId="5" xfId="2" applyFont="1" applyFill="1" applyBorder="1" applyAlignment="1">
      <alignment horizontal="center" vertical="center" wrapText="1"/>
    </xf>
    <xf numFmtId="49" fontId="12" fillId="9" borderId="10" xfId="0" applyNumberFormat="1" applyFont="1" applyFill="1" applyBorder="1" applyAlignment="1">
      <alignment horizontal="center" vertical="center" wrapText="1"/>
    </xf>
    <xf numFmtId="188" fontId="3" fillId="9" borderId="10" xfId="23" applyNumberFormat="1" applyFont="1" applyFill="1" applyBorder="1" applyAlignment="1">
      <alignment horizontal="center" vertical="center" wrapText="1"/>
    </xf>
    <xf numFmtId="3" fontId="3" fillId="9" borderId="5" xfId="0" applyNumberFormat="1" applyFont="1" applyFill="1" applyBorder="1" applyAlignment="1">
      <alignment vertical="center" wrapText="1"/>
    </xf>
    <xf numFmtId="4" fontId="3" fillId="9" borderId="5" xfId="0" applyNumberFormat="1" applyFont="1" applyFill="1" applyBorder="1" applyAlignment="1">
      <alignment vertical="center"/>
    </xf>
    <xf numFmtId="4" fontId="3" fillId="9" borderId="8" xfId="0" applyNumberFormat="1" applyFont="1" applyFill="1" applyBorder="1" applyAlignment="1">
      <alignment vertical="center"/>
    </xf>
    <xf numFmtId="184" fontId="12" fillId="9" borderId="8" xfId="369" applyNumberFormat="1" applyFont="1" applyFill="1" applyBorder="1" applyAlignment="1">
      <alignment horizontal="center" vertical="center"/>
    </xf>
    <xf numFmtId="0" fontId="0" fillId="7" borderId="15" xfId="0" applyFill="1" applyBorder="1" applyAlignment="1">
      <alignment horizontal="center"/>
    </xf>
    <xf numFmtId="184" fontId="27" fillId="7" borderId="16" xfId="0" applyNumberFormat="1" applyFont="1" applyFill="1" applyBorder="1" applyAlignment="1">
      <alignment horizontal="center" vertical="center"/>
    </xf>
    <xf numFmtId="0" fontId="5" fillId="0" borderId="0" xfId="0" applyFont="1" applyAlignment="1">
      <alignment horizontal="center"/>
    </xf>
    <xf numFmtId="184" fontId="5" fillId="9" borderId="0" xfId="0" applyNumberFormat="1" applyFont="1" applyFill="1" applyAlignment="1">
      <alignment horizontal="center"/>
    </xf>
    <xf numFmtId="184" fontId="5" fillId="0" borderId="0" xfId="0" applyNumberFormat="1" applyFont="1" applyAlignment="1">
      <alignment horizontal="center"/>
    </xf>
    <xf numFmtId="0" fontId="0" fillId="0" borderId="0" xfId="0" applyAlignment="1">
      <alignment horizontal="center"/>
    </xf>
    <xf numFmtId="184" fontId="0" fillId="0" borderId="0" xfId="0" applyNumberFormat="1" applyAlignment="1">
      <alignment horizontal="center"/>
    </xf>
    <xf numFmtId="0" fontId="9" fillId="0" borderId="0" xfId="0" applyFont="1" applyAlignment="1">
      <alignment horizontal="center"/>
    </xf>
    <xf numFmtId="0" fontId="1" fillId="0" borderId="10" xfId="0" applyFont="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0" fillId="0" borderId="0" xfId="0" applyProtection="1">
      <protection locked="0"/>
    </xf>
    <xf numFmtId="0" fontId="0" fillId="0" borderId="10" xfId="0" applyBorder="1" applyAlignment="1" applyProtection="1">
      <alignment horizontal="center" vertical="center"/>
      <protection locked="0"/>
    </xf>
    <xf numFmtId="0" fontId="45" fillId="0" borderId="5" xfId="0" applyFont="1" applyBorder="1" applyAlignment="1">
      <alignment horizontal="center"/>
    </xf>
    <xf numFmtId="14" fontId="45" fillId="0" borderId="5" xfId="0" applyNumberFormat="1" applyFont="1" applyBorder="1" applyAlignment="1">
      <alignment horizontal="center" wrapText="1"/>
    </xf>
    <xf numFmtId="3" fontId="45" fillId="0" borderId="5" xfId="0" applyNumberFormat="1" applyFont="1" applyBorder="1" applyAlignment="1" applyProtection="1">
      <alignment horizontal="center" vertical="center" wrapText="1"/>
      <protection locked="0"/>
    </xf>
    <xf numFmtId="0" fontId="1" fillId="0" borderId="3" xfId="0" applyFont="1" applyBorder="1" applyAlignment="1" applyProtection="1">
      <alignment vertical="center"/>
      <protection locked="0"/>
    </xf>
    <xf numFmtId="0" fontId="1" fillId="0" borderId="4" xfId="0" applyFont="1" applyBorder="1" applyAlignment="1" applyProtection="1">
      <alignment vertical="center"/>
      <protection locked="0"/>
    </xf>
    <xf numFmtId="0" fontId="45" fillId="3" borderId="3" xfId="1" applyFont="1" applyFill="1" applyBorder="1" applyAlignment="1">
      <alignment vertical="center"/>
    </xf>
    <xf numFmtId="0" fontId="45" fillId="3" borderId="1" xfId="1" applyFont="1" applyFill="1" applyBorder="1" applyAlignment="1">
      <alignment vertical="center"/>
    </xf>
    <xf numFmtId="0" fontId="0" fillId="2" borderId="0" xfId="1" applyFont="1" applyFill="1" applyAlignment="1">
      <alignment horizontal="center" vertical="center"/>
    </xf>
    <xf numFmtId="0" fontId="0" fillId="0" borderId="0" xfId="1" applyFont="1"/>
    <xf numFmtId="1" fontId="45" fillId="6" borderId="5" xfId="1" applyNumberFormat="1" applyFont="1" applyFill="1" applyBorder="1" applyAlignment="1">
      <alignment horizontal="center" vertical="center" wrapText="1"/>
    </xf>
    <xf numFmtId="0" fontId="45" fillId="6" borderId="5" xfId="1" applyFont="1" applyFill="1" applyBorder="1" applyAlignment="1">
      <alignment horizontal="center" vertical="center" wrapText="1"/>
    </xf>
    <xf numFmtId="0" fontId="1" fillId="6" borderId="5" xfId="1" applyFont="1" applyFill="1" applyBorder="1" applyAlignment="1" applyProtection="1">
      <alignment horizontal="center" vertical="center" wrapText="1"/>
      <protection locked="0"/>
    </xf>
    <xf numFmtId="0" fontId="1" fillId="6" borderId="13" xfId="1" applyFont="1" applyFill="1" applyBorder="1" applyAlignment="1" applyProtection="1">
      <alignment horizontal="center" vertical="center" wrapText="1"/>
      <protection locked="0"/>
    </xf>
    <xf numFmtId="168" fontId="45" fillId="6" borderId="5" xfId="1" applyNumberFormat="1" applyFont="1" applyFill="1" applyBorder="1" applyAlignment="1">
      <alignment horizontal="center" vertical="center" wrapText="1"/>
    </xf>
    <xf numFmtId="168" fontId="45" fillId="6" borderId="5" xfId="1" applyNumberFormat="1" applyFont="1" applyFill="1" applyBorder="1" applyAlignment="1">
      <alignment vertical="center" wrapText="1"/>
    </xf>
    <xf numFmtId="0" fontId="45" fillId="6" borderId="5" xfId="1" applyFont="1" applyFill="1" applyBorder="1" applyAlignment="1">
      <alignment horizontal="center" vertical="center" textRotation="90" wrapText="1"/>
    </xf>
    <xf numFmtId="49" fontId="45" fillId="6" borderId="5" xfId="1" applyNumberFormat="1" applyFont="1" applyFill="1" applyBorder="1" applyAlignment="1">
      <alignment horizontal="center" vertical="center" textRotation="90" wrapText="1"/>
    </xf>
    <xf numFmtId="0" fontId="0" fillId="0" borderId="0" xfId="1" applyFont="1" applyAlignment="1">
      <alignment horizontal="center"/>
    </xf>
    <xf numFmtId="1" fontId="35" fillId="0" borderId="11" xfId="0" applyNumberFormat="1" applyFont="1" applyBorder="1" applyAlignment="1">
      <alignment horizontal="center" vertical="center" wrapText="1"/>
    </xf>
    <xf numFmtId="0" fontId="35" fillId="0" borderId="11" xfId="0" applyFont="1" applyBorder="1" applyAlignment="1">
      <alignment horizontal="justify" vertical="center" wrapText="1"/>
    </xf>
    <xf numFmtId="0" fontId="35" fillId="9" borderId="11" xfId="0" applyFont="1" applyFill="1" applyBorder="1" applyAlignment="1">
      <alignment horizontal="center" vertical="center" wrapText="1"/>
    </xf>
    <xf numFmtId="0" fontId="35" fillId="9" borderId="11" xfId="0" applyFont="1" applyFill="1" applyBorder="1" applyAlignment="1">
      <alignment horizontal="justify" vertical="center" wrapText="1"/>
    </xf>
    <xf numFmtId="0" fontId="35" fillId="0" borderId="11" xfId="0" applyFont="1" applyBorder="1" applyAlignment="1">
      <alignment horizontal="center" vertical="center" wrapText="1"/>
    </xf>
    <xf numFmtId="0" fontId="35" fillId="0" borderId="11" xfId="0" applyFont="1" applyBorder="1" applyAlignment="1">
      <alignment horizontal="center" vertical="center"/>
    </xf>
    <xf numFmtId="43" fontId="35" fillId="0" borderId="5" xfId="0" applyNumberFormat="1" applyFont="1" applyBorder="1" applyAlignment="1">
      <alignment horizontal="left" vertical="center" wrapText="1"/>
    </xf>
    <xf numFmtId="166" fontId="15" fillId="0" borderId="5" xfId="18" applyFont="1" applyFill="1" applyBorder="1" applyAlignment="1">
      <alignment horizontal="right" vertical="center" wrapText="1"/>
    </xf>
    <xf numFmtId="14" fontId="0" fillId="0" borderId="5" xfId="0" applyNumberFormat="1" applyBorder="1" applyAlignment="1">
      <alignment horizontal="center" vertical="center"/>
    </xf>
    <xf numFmtId="3" fontId="0" fillId="0" borderId="5" xfId="0" applyNumberFormat="1" applyBorder="1" applyAlignment="1">
      <alignment horizontal="right" vertical="center"/>
    </xf>
    <xf numFmtId="0" fontId="15" fillId="0" borderId="5" xfId="0" applyFont="1" applyBorder="1" applyAlignment="1">
      <alignment vertical="center" wrapText="1"/>
    </xf>
    <xf numFmtId="1" fontId="35" fillId="9" borderId="11" xfId="0" applyNumberFormat="1" applyFont="1" applyFill="1" applyBorder="1" applyAlignment="1">
      <alignment horizontal="center" vertical="center" wrapText="1"/>
    </xf>
    <xf numFmtId="43" fontId="35" fillId="0" borderId="5" xfId="0" applyNumberFormat="1" applyFont="1" applyBorder="1" applyAlignment="1">
      <alignment horizontal="justify" vertical="center" wrapText="1"/>
    </xf>
    <xf numFmtId="181" fontId="0" fillId="0" borderId="5" xfId="7" applyNumberFormat="1" applyFont="1" applyFill="1" applyBorder="1" applyAlignment="1">
      <alignment horizontal="right" vertical="center" wrapText="1"/>
    </xf>
    <xf numFmtId="164" fontId="0" fillId="0" borderId="5" xfId="7" applyNumberFormat="1" applyFont="1" applyFill="1" applyBorder="1" applyAlignment="1">
      <alignment horizontal="justify" vertical="center" wrapText="1"/>
    </xf>
    <xf numFmtId="170" fontId="0" fillId="0" borderId="5" xfId="7" applyFont="1" applyBorder="1" applyAlignment="1">
      <alignment horizontal="right" vertical="center" wrapText="1"/>
    </xf>
    <xf numFmtId="0" fontId="0" fillId="0" borderId="5" xfId="0" applyBorder="1" applyAlignment="1">
      <alignment horizontal="justify" vertical="center" wrapText="1"/>
    </xf>
    <xf numFmtId="0" fontId="35" fillId="0" borderId="5" xfId="0" applyFont="1" applyBorder="1" applyAlignment="1">
      <alignment horizontal="center" vertical="center" wrapText="1"/>
    </xf>
    <xf numFmtId="172" fontId="0" fillId="0" borderId="5" xfId="0" applyNumberFormat="1" applyBorder="1" applyAlignment="1">
      <alignment horizontal="center" vertical="center" wrapText="1"/>
    </xf>
    <xf numFmtId="190" fontId="15" fillId="0" borderId="5" xfId="0" applyNumberFormat="1" applyFont="1" applyBorder="1" applyAlignment="1">
      <alignment vertical="center" wrapText="1"/>
    </xf>
    <xf numFmtId="0" fontId="0" fillId="0" borderId="11" xfId="0" applyBorder="1" applyAlignment="1">
      <alignment horizontal="center" vertical="center"/>
    </xf>
    <xf numFmtId="181" fontId="0" fillId="0" borderId="5" xfId="7" applyNumberFormat="1" applyFont="1" applyBorder="1" applyAlignment="1">
      <alignment horizontal="right" vertical="center" wrapText="1"/>
    </xf>
    <xf numFmtId="3" fontId="15" fillId="0" borderId="19" xfId="16" applyNumberFormat="1" applyFont="1" applyBorder="1" applyAlignment="1">
      <alignment horizontal="center" vertical="center" wrapText="1"/>
    </xf>
    <xf numFmtId="170" fontId="0" fillId="0" borderId="5" xfId="7" applyFont="1" applyFill="1" applyBorder="1" applyAlignment="1">
      <alignment horizontal="right" vertical="center" wrapText="1"/>
    </xf>
    <xf numFmtId="14" fontId="0" fillId="0" borderId="11" xfId="0" applyNumberFormat="1" applyBorder="1" applyAlignment="1">
      <alignment horizontal="center" vertical="center"/>
    </xf>
    <xf numFmtId="0" fontId="1" fillId="7" borderId="15" xfId="0" applyFont="1" applyFill="1" applyBorder="1" applyAlignment="1">
      <alignment horizontal="right" vertical="center"/>
    </xf>
    <xf numFmtId="181" fontId="1" fillId="7" borderId="16" xfId="0" applyNumberFormat="1" applyFont="1" applyFill="1" applyBorder="1" applyAlignment="1">
      <alignment vertical="center"/>
    </xf>
    <xf numFmtId="181" fontId="1" fillId="7" borderId="15" xfId="0" applyNumberFormat="1" applyFont="1" applyFill="1" applyBorder="1" applyAlignment="1">
      <alignment vertical="center"/>
    </xf>
    <xf numFmtId="0" fontId="41" fillId="0" borderId="0" xfId="0" applyFont="1"/>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vertical="center"/>
    </xf>
    <xf numFmtId="0" fontId="46" fillId="0" borderId="0" xfId="0" applyFont="1"/>
    <xf numFmtId="0" fontId="0" fillId="49" borderId="9" xfId="0" applyFill="1" applyBorder="1"/>
    <xf numFmtId="0" fontId="0" fillId="49" borderId="10" xfId="0" applyFill="1" applyBorder="1"/>
    <xf numFmtId="0" fontId="3" fillId="0" borderId="42" xfId="0" applyFont="1" applyBorder="1" applyAlignment="1">
      <alignment horizontal="center" vertical="center" wrapText="1"/>
    </xf>
    <xf numFmtId="0" fontId="3" fillId="9" borderId="5" xfId="0" applyFont="1" applyFill="1" applyBorder="1" applyAlignment="1">
      <alignment horizontal="justify" vertical="center"/>
    </xf>
    <xf numFmtId="0" fontId="7" fillId="50" borderId="5" xfId="0" applyFont="1" applyFill="1" applyBorder="1" applyAlignment="1">
      <alignment horizontal="justify" vertical="justify" wrapText="1"/>
    </xf>
    <xf numFmtId="3" fontId="12" fillId="9" borderId="5" xfId="0" applyNumberFormat="1" applyFont="1" applyFill="1" applyBorder="1" applyAlignment="1">
      <alignment horizontal="center" vertical="center" wrapText="1"/>
    </xf>
    <xf numFmtId="3" fontId="3" fillId="9" borderId="5" xfId="0" applyNumberFormat="1" applyFont="1" applyFill="1" applyBorder="1" applyAlignment="1">
      <alignment horizontal="center" vertical="center" wrapText="1"/>
    </xf>
    <xf numFmtId="3" fontId="3" fillId="0" borderId="5" xfId="0" applyNumberFormat="1" applyFont="1" applyBorder="1" applyAlignment="1">
      <alignment horizontal="center" vertical="center" wrapText="1"/>
    </xf>
    <xf numFmtId="3" fontId="4" fillId="3" borderId="5" xfId="1" applyNumberFormat="1" applyFont="1" applyFill="1" applyBorder="1" applyAlignment="1">
      <alignment horizontal="center" vertical="center" textRotation="90" wrapText="1"/>
    </xf>
    <xf numFmtId="14" fontId="37" fillId="0" borderId="42" xfId="0" applyNumberFormat="1" applyFont="1" applyBorder="1" applyAlignment="1">
      <alignment horizontal="center" vertical="center"/>
    </xf>
    <xf numFmtId="14" fontId="3" fillId="0" borderId="42" xfId="0" applyNumberFormat="1" applyFont="1" applyBorder="1" applyAlignment="1">
      <alignment horizontal="center" vertical="center" wrapText="1"/>
    </xf>
    <xf numFmtId="1" fontId="12" fillId="0" borderId="5" xfId="11" applyNumberFormat="1" applyFont="1" applyBorder="1" applyAlignment="1">
      <alignment horizontal="center" vertical="center" wrapText="1"/>
    </xf>
    <xf numFmtId="0" fontId="7" fillId="50" borderId="5" xfId="0" applyFont="1" applyFill="1" applyBorder="1" applyAlignment="1">
      <alignment horizontal="justify" vertical="center" wrapText="1"/>
    </xf>
    <xf numFmtId="0" fontId="3" fillId="9" borderId="43" xfId="0" applyFont="1" applyFill="1" applyBorder="1" applyAlignment="1">
      <alignment horizontal="center" vertical="center"/>
    </xf>
    <xf numFmtId="0" fontId="3" fillId="9" borderId="42" xfId="0" applyFont="1" applyFill="1" applyBorder="1" applyAlignment="1">
      <alignment horizontal="center" vertical="center" wrapText="1"/>
    </xf>
    <xf numFmtId="0" fontId="3" fillId="9" borderId="13" xfId="0" applyFont="1" applyFill="1" applyBorder="1" applyAlignment="1">
      <alignment horizontal="justify" vertical="center"/>
    </xf>
    <xf numFmtId="1" fontId="12" fillId="9" borderId="13" xfId="0" applyNumberFormat="1" applyFont="1" applyFill="1" applyBorder="1" applyAlignment="1">
      <alignment horizontal="center" vertical="center"/>
    </xf>
    <xf numFmtId="0" fontId="3" fillId="9" borderId="13" xfId="0" applyFont="1" applyFill="1" applyBorder="1" applyAlignment="1">
      <alignment horizontal="center" vertical="center" wrapText="1"/>
    </xf>
    <xf numFmtId="0" fontId="7" fillId="9" borderId="13" xfId="0" applyFont="1" applyFill="1" applyBorder="1" applyAlignment="1">
      <alignment horizontal="justify" vertical="justify" wrapText="1"/>
    </xf>
    <xf numFmtId="3" fontId="3" fillId="9" borderId="13" xfId="0" applyNumberFormat="1" applyFont="1" applyFill="1" applyBorder="1" applyAlignment="1">
      <alignment horizontal="center" vertical="center" wrapText="1"/>
    </xf>
    <xf numFmtId="3" fontId="4" fillId="47" borderId="5" xfId="1" applyNumberFormat="1" applyFont="1" applyFill="1" applyBorder="1" applyAlignment="1">
      <alignment horizontal="center" vertical="center" textRotation="90" wrapText="1"/>
    </xf>
    <xf numFmtId="14" fontId="37" fillId="9" borderId="42" xfId="0" applyNumberFormat="1" applyFont="1" applyFill="1" applyBorder="1" applyAlignment="1">
      <alignment horizontal="center" vertical="center"/>
    </xf>
    <xf numFmtId="14" fontId="3" fillId="9" borderId="42" xfId="0" applyNumberFormat="1" applyFont="1" applyFill="1" applyBorder="1" applyAlignment="1">
      <alignment horizontal="center" vertical="center" wrapText="1"/>
    </xf>
    <xf numFmtId="1" fontId="12" fillId="9" borderId="23" xfId="11" applyNumberFormat="1" applyFont="1" applyFill="1" applyBorder="1" applyAlignment="1">
      <alignment horizontal="center" vertical="center" wrapText="1"/>
    </xf>
    <xf numFmtId="0" fontId="3" fillId="45" borderId="0" xfId="1" applyFont="1" applyFill="1" applyAlignment="1">
      <alignment horizontal="center"/>
    </xf>
    <xf numFmtId="1" fontId="12" fillId="9" borderId="5" xfId="0" applyNumberFormat="1" applyFont="1" applyFill="1" applyBorder="1" applyAlignment="1">
      <alignment horizontal="center" vertical="center"/>
    </xf>
    <xf numFmtId="0" fontId="7" fillId="9" borderId="5" xfId="0" applyFont="1" applyFill="1" applyBorder="1" applyAlignment="1">
      <alignment horizontal="justify" vertical="justify" wrapText="1"/>
    </xf>
    <xf numFmtId="3" fontId="3" fillId="9" borderId="11" xfId="0" applyNumberFormat="1" applyFont="1" applyFill="1" applyBorder="1" applyAlignment="1">
      <alignment horizontal="center" vertical="center" wrapText="1"/>
    </xf>
    <xf numFmtId="3" fontId="12" fillId="9" borderId="25" xfId="11" applyNumberFormat="1" applyFont="1" applyFill="1" applyBorder="1" applyAlignment="1">
      <alignment horizontal="center" vertical="center" wrapText="1"/>
    </xf>
    <xf numFmtId="1" fontId="12" fillId="9" borderId="5" xfId="11" applyNumberFormat="1" applyFont="1" applyFill="1" applyBorder="1" applyAlignment="1">
      <alignment horizontal="center" vertical="center" wrapText="1"/>
    </xf>
    <xf numFmtId="0" fontId="12" fillId="9" borderId="5" xfId="0" applyFont="1" applyFill="1" applyBorder="1" applyAlignment="1">
      <alignment horizontal="justify" vertical="center"/>
    </xf>
    <xf numFmtId="3" fontId="3" fillId="0" borderId="11" xfId="0" applyNumberFormat="1" applyFont="1" applyBorder="1" applyAlignment="1">
      <alignment horizontal="center" vertical="center" wrapText="1"/>
    </xf>
    <xf numFmtId="0" fontId="0" fillId="51" borderId="14" xfId="0" applyFill="1" applyBorder="1"/>
    <xf numFmtId="0" fontId="0" fillId="51" borderId="15" xfId="0" applyFill="1" applyBorder="1"/>
    <xf numFmtId="0" fontId="27" fillId="51" borderId="15" xfId="0" applyFont="1" applyFill="1" applyBorder="1" applyAlignment="1">
      <alignment horizontal="right" vertical="center"/>
    </xf>
    <xf numFmtId="181" fontId="27" fillId="51" borderId="16" xfId="0" applyNumberFormat="1" applyFont="1" applyFill="1" applyBorder="1" applyAlignment="1">
      <alignment vertical="center"/>
    </xf>
    <xf numFmtId="181" fontId="27" fillId="51" borderId="15" xfId="0" applyNumberFormat="1" applyFont="1" applyFill="1" applyBorder="1" applyAlignment="1">
      <alignment vertical="center"/>
    </xf>
    <xf numFmtId="0" fontId="0" fillId="51" borderId="17" xfId="0" applyFill="1" applyBorder="1"/>
    <xf numFmtId="0" fontId="3" fillId="5" borderId="9" xfId="0" applyFont="1" applyFill="1" applyBorder="1"/>
    <xf numFmtId="0" fontId="3" fillId="5" borderId="10" xfId="0" applyFont="1" applyFill="1" applyBorder="1"/>
    <xf numFmtId="0" fontId="7" fillId="0" borderId="5" xfId="0" applyFont="1" applyBorder="1" applyAlignment="1">
      <alignment horizontal="center" vertical="center" wrapText="1"/>
    </xf>
    <xf numFmtId="0" fontId="7" fillId="0" borderId="5" xfId="0" applyFont="1" applyBorder="1" applyAlignment="1">
      <alignment horizontal="justify" vertical="center" wrapText="1"/>
    </xf>
    <xf numFmtId="0" fontId="12" fillId="0" borderId="11" xfId="0" applyFont="1" applyBorder="1" applyAlignment="1">
      <alignment horizontal="center" vertical="center" wrapText="1"/>
    </xf>
    <xf numFmtId="0" fontId="12" fillId="0" borderId="11" xfId="2" applyFont="1" applyBorder="1" applyAlignment="1">
      <alignment horizontal="justify" vertical="center" wrapText="1"/>
    </xf>
    <xf numFmtId="0" fontId="3" fillId="0" borderId="11" xfId="0" applyFont="1" applyBorder="1" applyAlignment="1">
      <alignment horizontal="center" vertical="center"/>
    </xf>
    <xf numFmtId="12" fontId="3" fillId="0" borderId="11" xfId="0" applyNumberFormat="1" applyFont="1" applyBorder="1" applyAlignment="1">
      <alignment horizontal="center" vertical="center"/>
    </xf>
    <xf numFmtId="0" fontId="3" fillId="0" borderId="11" xfId="0" applyFont="1" applyBorder="1" applyAlignment="1">
      <alignment horizontal="justify" vertical="center" wrapText="1"/>
    </xf>
    <xf numFmtId="182" fontId="12" fillId="0" borderId="5" xfId="370" applyNumberFormat="1" applyFont="1" applyFill="1" applyBorder="1" applyAlignment="1">
      <alignment vertical="center" wrapText="1"/>
    </xf>
    <xf numFmtId="0" fontId="3" fillId="0" borderId="5" xfId="0" applyFont="1" applyBorder="1" applyAlignment="1">
      <alignment horizontal="center" vertical="center" wrapText="1"/>
    </xf>
    <xf numFmtId="3" fontId="3" fillId="0" borderId="5" xfId="0" applyNumberFormat="1" applyFont="1" applyBorder="1" applyAlignment="1">
      <alignment horizontal="center" vertical="center"/>
    </xf>
    <xf numFmtId="14" fontId="7" fillId="0" borderId="5" xfId="0" applyNumberFormat="1" applyFont="1" applyBorder="1" applyAlignment="1">
      <alignment horizontal="center" vertical="center" wrapText="1"/>
    </xf>
    <xf numFmtId="0" fontId="7" fillId="0" borderId="10" xfId="0" applyFont="1" applyBorder="1" applyAlignment="1">
      <alignment horizontal="center" vertical="center" wrapText="1"/>
    </xf>
    <xf numFmtId="0" fontId="3" fillId="0" borderId="0" xfId="0" applyFont="1" applyAlignment="1">
      <alignment horizontal="justify" vertical="center" wrapText="1"/>
    </xf>
    <xf numFmtId="0" fontId="7" fillId="0" borderId="5" xfId="2" applyFont="1" applyBorder="1" applyAlignment="1">
      <alignment horizontal="center" vertical="center" wrapText="1"/>
    </xf>
    <xf numFmtId="0" fontId="12" fillId="0" borderId="5" xfId="2" applyFont="1" applyBorder="1" applyAlignment="1">
      <alignment horizontal="center" vertical="center" wrapText="1"/>
    </xf>
    <xf numFmtId="0" fontId="12" fillId="0" borderId="5" xfId="2" applyFont="1" applyBorder="1" applyAlignment="1">
      <alignment horizontal="justify" vertical="center" wrapText="1"/>
    </xf>
    <xf numFmtId="0" fontId="12" fillId="0" borderId="11" xfId="2" applyFont="1" applyBorder="1" applyAlignment="1">
      <alignment horizontal="center" vertical="center" wrapText="1"/>
    </xf>
    <xf numFmtId="0" fontId="12" fillId="0" borderId="11" xfId="0" applyFont="1" applyBorder="1" applyAlignment="1">
      <alignment horizontal="justify" vertical="center" wrapText="1"/>
    </xf>
    <xf numFmtId="182" fontId="12" fillId="0" borderId="5" xfId="370" applyNumberFormat="1" applyFont="1" applyFill="1" applyBorder="1" applyAlignment="1">
      <alignment horizontal="left" vertical="center" wrapText="1"/>
    </xf>
    <xf numFmtId="183" fontId="12" fillId="0" borderId="5" xfId="370" applyNumberFormat="1" applyFont="1" applyFill="1" applyBorder="1" applyAlignment="1">
      <alignment horizontal="left" vertical="center" wrapText="1"/>
    </xf>
    <xf numFmtId="182" fontId="3" fillId="0" borderId="5" xfId="370" applyNumberFormat="1" applyFont="1" applyFill="1" applyBorder="1" applyAlignment="1">
      <alignment vertical="center" wrapText="1"/>
    </xf>
    <xf numFmtId="12" fontId="3" fillId="0" borderId="5" xfId="0" applyNumberFormat="1" applyFont="1" applyBorder="1" applyAlignment="1">
      <alignment horizontal="center" vertical="center"/>
    </xf>
    <xf numFmtId="1" fontId="7" fillId="0" borderId="5" xfId="0" applyNumberFormat="1" applyFont="1" applyBorder="1" applyAlignment="1">
      <alignment horizontal="center" vertical="center" wrapText="1"/>
    </xf>
    <xf numFmtId="0" fontId="7" fillId="0" borderId="11" xfId="0" applyFont="1" applyBorder="1" applyAlignment="1">
      <alignment horizontal="justify" vertical="center" wrapText="1"/>
    </xf>
    <xf numFmtId="182" fontId="12" fillId="0" borderId="11" xfId="370" applyNumberFormat="1" applyFont="1" applyFill="1" applyBorder="1" applyAlignment="1">
      <alignment vertical="center" wrapText="1"/>
    </xf>
    <xf numFmtId="0" fontId="3" fillId="7" borderId="14" xfId="0" applyFont="1" applyFill="1" applyBorder="1"/>
    <xf numFmtId="0" fontId="3" fillId="7" borderId="15" xfId="0" applyFont="1" applyFill="1" applyBorder="1"/>
    <xf numFmtId="0" fontId="3" fillId="7" borderId="15" xfId="0" applyFont="1" applyFill="1" applyBorder="1" applyAlignment="1">
      <alignment horizontal="center"/>
    </xf>
    <xf numFmtId="0" fontId="2" fillId="7" borderId="15" xfId="0" applyFont="1" applyFill="1" applyBorder="1" applyAlignment="1">
      <alignment horizontal="center" vertical="center" wrapText="1"/>
    </xf>
    <xf numFmtId="182" fontId="47" fillId="7" borderId="16" xfId="370" applyNumberFormat="1" applyFont="1" applyFill="1" applyBorder="1" applyAlignment="1">
      <alignment vertical="center" wrapText="1"/>
    </xf>
    <xf numFmtId="0" fontId="3" fillId="7" borderId="17" xfId="0" applyFont="1" applyFill="1" applyBorder="1"/>
    <xf numFmtId="0" fontId="3" fillId="0" borderId="0" xfId="0" applyFont="1" applyAlignment="1">
      <alignment horizontal="center"/>
    </xf>
    <xf numFmtId="0" fontId="3" fillId="0" borderId="0" xfId="0" applyFont="1" applyAlignment="1">
      <alignment horizontal="center" wrapText="1"/>
    </xf>
    <xf numFmtId="0" fontId="48" fillId="0" borderId="0" xfId="0" applyFont="1"/>
    <xf numFmtId="0" fontId="2" fillId="0" borderId="5" xfId="0" applyFont="1" applyBorder="1"/>
    <xf numFmtId="0" fontId="49" fillId="0" borderId="0" xfId="0" applyFont="1"/>
    <xf numFmtId="0" fontId="45" fillId="52" borderId="19" xfId="0" applyFont="1" applyFill="1" applyBorder="1" applyAlignment="1">
      <alignment horizontal="center" vertical="center"/>
    </xf>
    <xf numFmtId="0" fontId="45" fillId="52" borderId="19" xfId="0" applyFont="1" applyFill="1" applyBorder="1" applyAlignment="1">
      <alignment horizontal="center" vertical="center" wrapText="1"/>
    </xf>
    <xf numFmtId="0" fontId="35" fillId="0" borderId="23" xfId="0" applyFont="1" applyBorder="1"/>
    <xf numFmtId="4" fontId="0" fillId="0" borderId="0" xfId="0" applyNumberFormat="1"/>
    <xf numFmtId="0" fontId="35" fillId="0" borderId="19" xfId="0" applyFont="1" applyBorder="1"/>
    <xf numFmtId="0" fontId="35" fillId="0" borderId="19" xfId="0" applyFont="1" applyBorder="1" applyAlignment="1">
      <alignment wrapText="1"/>
    </xf>
    <xf numFmtId="0" fontId="45" fillId="52" borderId="44" xfId="0" applyFont="1" applyFill="1" applyBorder="1" applyAlignment="1">
      <alignment vertical="center"/>
    </xf>
    <xf numFmtId="4" fontId="45" fillId="52" borderId="5" xfId="0" applyNumberFormat="1" applyFont="1" applyFill="1" applyBorder="1" applyAlignment="1">
      <alignment horizontal="center" vertical="center"/>
    </xf>
    <xf numFmtId="0" fontId="45" fillId="52" borderId="5" xfId="0" applyFont="1" applyFill="1" applyBorder="1" applyAlignment="1">
      <alignment horizontal="center" vertical="center" wrapText="1"/>
    </xf>
    <xf numFmtId="0" fontId="35" fillId="0" borderId="5" xfId="0" applyFont="1" applyBorder="1"/>
    <xf numFmtId="4" fontId="35" fillId="0" borderId="5" xfId="0" applyNumberFormat="1" applyFont="1" applyBorder="1"/>
    <xf numFmtId="10" fontId="35" fillId="0" borderId="5" xfId="0" applyNumberFormat="1" applyFont="1" applyBorder="1" applyAlignment="1">
      <alignment horizontal="center" vertical="center"/>
    </xf>
    <xf numFmtId="0" fontId="35" fillId="0" borderId="5" xfId="0" applyFont="1" applyBorder="1" applyAlignment="1">
      <alignment horizontal="center"/>
    </xf>
    <xf numFmtId="0" fontId="45" fillId="0" borderId="5" xfId="0" applyFont="1" applyBorder="1"/>
    <xf numFmtId="0" fontId="45" fillId="53" borderId="5" xfId="0" applyFont="1" applyFill="1" applyBorder="1" applyAlignment="1">
      <alignment vertical="center"/>
    </xf>
    <xf numFmtId="165" fontId="0" fillId="0" borderId="0" xfId="0" applyNumberFormat="1"/>
    <xf numFmtId="165" fontId="45" fillId="53" borderId="5" xfId="0" applyNumberFormat="1" applyFont="1" applyFill="1" applyBorder="1" applyAlignment="1">
      <alignment horizontal="center" vertical="center"/>
    </xf>
    <xf numFmtId="0" fontId="45" fillId="53" borderId="5" xfId="0" applyFont="1" applyFill="1" applyBorder="1" applyAlignment="1">
      <alignment horizontal="center" vertical="center"/>
    </xf>
    <xf numFmtId="4" fontId="35" fillId="0" borderId="34" xfId="0" applyNumberFormat="1" applyFont="1" applyBorder="1"/>
    <xf numFmtId="10" fontId="35" fillId="0" borderId="23" xfId="0" applyNumberFormat="1" applyFont="1" applyBorder="1" applyAlignment="1">
      <alignment horizontal="center" vertical="center"/>
    </xf>
    <xf numFmtId="0" fontId="35" fillId="0" borderId="23" xfId="0" applyFont="1" applyBorder="1" applyAlignment="1">
      <alignment horizontal="center" vertical="center"/>
    </xf>
    <xf numFmtId="4" fontId="35" fillId="0" borderId="31" xfId="0" applyNumberFormat="1" applyFont="1" applyBorder="1"/>
    <xf numFmtId="0" fontId="35" fillId="0" borderId="19" xfId="0" applyFont="1" applyBorder="1" applyAlignment="1">
      <alignment horizontal="center" vertical="center"/>
    </xf>
    <xf numFmtId="4" fontId="35" fillId="0" borderId="31" xfId="0" applyNumberFormat="1" applyFont="1" applyBorder="1" applyAlignment="1">
      <alignment vertical="center"/>
    </xf>
    <xf numFmtId="4" fontId="35" fillId="0" borderId="44" xfId="0" applyNumberFormat="1" applyFont="1" applyBorder="1" applyAlignment="1">
      <alignment vertical="center"/>
    </xf>
    <xf numFmtId="0" fontId="35" fillId="0" borderId="25" xfId="0" applyFont="1" applyBorder="1" applyAlignment="1">
      <alignment horizontal="center" vertical="center"/>
    </xf>
    <xf numFmtId="9" fontId="45" fillId="52" borderId="5" xfId="368" applyFont="1" applyFill="1" applyBorder="1" applyAlignment="1">
      <alignment horizontal="center" vertical="center"/>
    </xf>
    <xf numFmtId="3" fontId="45" fillId="52" borderId="5" xfId="0" applyNumberFormat="1" applyFont="1" applyFill="1" applyBorder="1" applyAlignment="1">
      <alignment horizontal="center" vertical="center"/>
    </xf>
    <xf numFmtId="3" fontId="45" fillId="53" borderId="5" xfId="0" applyNumberFormat="1" applyFont="1" applyFill="1" applyBorder="1" applyAlignment="1">
      <alignment horizontal="center" vertical="center"/>
    </xf>
    <xf numFmtId="0" fontId="35" fillId="0" borderId="25" xfId="0" applyFont="1" applyBorder="1" applyAlignment="1">
      <alignment wrapText="1"/>
    </xf>
    <xf numFmtId="10" fontId="35" fillId="0" borderId="26" xfId="0" applyNumberFormat="1" applyFont="1" applyBorder="1" applyAlignment="1">
      <alignment horizontal="center" vertical="center"/>
    </xf>
    <xf numFmtId="0" fontId="45" fillId="52" borderId="5" xfId="0" applyFont="1" applyFill="1" applyBorder="1" applyAlignment="1">
      <alignment vertical="center"/>
    </xf>
    <xf numFmtId="0" fontId="0" fillId="5" borderId="10" xfId="0" applyFill="1" applyBorder="1" applyAlignment="1">
      <alignment wrapText="1"/>
    </xf>
    <xf numFmtId="184" fontId="4" fillId="6" borderId="5" xfId="1" applyNumberFormat="1" applyFont="1" applyFill="1" applyBorder="1" applyAlignment="1">
      <alignment horizontal="right" vertical="center" wrapText="1"/>
    </xf>
    <xf numFmtId="0" fontId="15" fillId="0" borderId="5" xfId="16" applyFont="1" applyBorder="1" applyAlignment="1">
      <alignment horizontal="justify" vertical="justify" wrapText="1"/>
    </xf>
    <xf numFmtId="0" fontId="35" fillId="0" borderId="19" xfId="0" applyFont="1" applyBorder="1" applyAlignment="1">
      <alignment horizontal="center" vertical="center" wrapText="1"/>
    </xf>
    <xf numFmtId="1" fontId="0" fillId="0" borderId="5" xfId="0" applyNumberFormat="1" applyBorder="1" applyAlignment="1">
      <alignment horizontal="center" vertical="center" wrapText="1"/>
    </xf>
    <xf numFmtId="3" fontId="0" fillId="0" borderId="5" xfId="0" applyNumberFormat="1" applyBorder="1" applyAlignment="1">
      <alignment horizontal="justify" vertical="center" wrapText="1"/>
    </xf>
    <xf numFmtId="49" fontId="0" fillId="0" borderId="5" xfId="0" applyNumberFormat="1" applyBorder="1" applyAlignment="1">
      <alignment horizontal="center" vertical="center" wrapText="1"/>
    </xf>
    <xf numFmtId="184" fontId="15" fillId="0" borderId="5" xfId="25" applyNumberFormat="1" applyFont="1" applyFill="1" applyBorder="1" applyAlignment="1">
      <alignment horizontal="right" vertical="center"/>
    </xf>
    <xf numFmtId="181" fontId="11" fillId="0" borderId="5" xfId="7" applyNumberFormat="1" applyFont="1" applyFill="1" applyBorder="1" applyAlignment="1">
      <alignment horizontal="center" vertical="center" wrapText="1"/>
    </xf>
    <xf numFmtId="164" fontId="11" fillId="0" borderId="5" xfId="7" applyNumberFormat="1" applyFont="1" applyFill="1" applyBorder="1" applyAlignment="1">
      <alignment horizontal="center" vertical="center" wrapText="1"/>
    </xf>
    <xf numFmtId="3" fontId="50" fillId="0" borderId="5" xfId="0" applyNumberFormat="1" applyFont="1" applyBorder="1" applyAlignment="1">
      <alignment horizontal="center" vertical="center"/>
    </xf>
    <xf numFmtId="3" fontId="51" fillId="0" borderId="5" xfId="0" applyNumberFormat="1" applyFont="1" applyBorder="1" applyAlignment="1">
      <alignment vertical="center"/>
    </xf>
    <xf numFmtId="1" fontId="35" fillId="0" borderId="5" xfId="0" applyNumberFormat="1" applyFont="1" applyBorder="1" applyAlignment="1">
      <alignment horizontal="center" vertical="center" wrapText="1"/>
    </xf>
    <xf numFmtId="1" fontId="35" fillId="0" borderId="5" xfId="0" applyNumberFormat="1" applyFont="1" applyBorder="1" applyAlignment="1">
      <alignment horizontal="justify" vertical="center" wrapText="1"/>
    </xf>
    <xf numFmtId="0" fontId="35" fillId="0" borderId="5" xfId="0" applyFont="1" applyBorder="1" applyAlignment="1">
      <alignment horizontal="justify" vertical="center" wrapText="1"/>
    </xf>
    <xf numFmtId="184" fontId="11" fillId="0" borderId="5" xfId="25" applyNumberFormat="1" applyFont="1" applyFill="1" applyBorder="1" applyAlignment="1">
      <alignment horizontal="right" vertical="center" wrapText="1"/>
    </xf>
    <xf numFmtId="0" fontId="15" fillId="0" borderId="5" xfId="16" applyFont="1" applyBorder="1" applyAlignment="1">
      <alignment horizontal="justify" vertical="center" wrapText="1"/>
    </xf>
    <xf numFmtId="184" fontId="11" fillId="0" borderId="5" xfId="25" applyNumberFormat="1" applyFont="1" applyFill="1" applyBorder="1" applyAlignment="1">
      <alignment horizontal="right" vertical="center"/>
    </xf>
    <xf numFmtId="3" fontId="0" fillId="0" borderId="5" xfId="0" applyNumberFormat="1" applyBorder="1" applyAlignment="1">
      <alignment horizontal="center" vertical="center"/>
    </xf>
    <xf numFmtId="184" fontId="15" fillId="0" borderId="5" xfId="32" applyNumberFormat="1" applyFont="1" applyFill="1" applyBorder="1" applyAlignment="1">
      <alignment horizontal="right" vertical="center" wrapText="1"/>
    </xf>
    <xf numFmtId="3" fontId="52" fillId="0" borderId="5" xfId="0" applyNumberFormat="1" applyFont="1" applyBorder="1" applyAlignment="1">
      <alignment horizontal="center" vertical="center"/>
    </xf>
    <xf numFmtId="3" fontId="53" fillId="0" borderId="5" xfId="0" applyNumberFormat="1" applyFont="1" applyBorder="1" applyAlignment="1">
      <alignment vertical="center"/>
    </xf>
    <xf numFmtId="1" fontId="15" fillId="0" borderId="11" xfId="0" applyNumberFormat="1" applyFont="1" applyBorder="1" applyAlignment="1">
      <alignment horizontal="center" vertical="center" wrapText="1"/>
    </xf>
    <xf numFmtId="0" fontId="0" fillId="0" borderId="11" xfId="0" applyBorder="1" applyAlignment="1">
      <alignment horizontal="center" vertical="center" wrapText="1"/>
    </xf>
    <xf numFmtId="1" fontId="0" fillId="0" borderId="11" xfId="0" applyNumberFormat="1" applyBorder="1" applyAlignment="1">
      <alignment horizontal="center" vertical="center" wrapText="1"/>
    </xf>
    <xf numFmtId="49" fontId="0" fillId="0" borderId="11" xfId="0" applyNumberFormat="1" applyBorder="1" applyAlignment="1">
      <alignment horizontal="center" vertical="center" wrapText="1"/>
    </xf>
    <xf numFmtId="184" fontId="15" fillId="0" borderId="11" xfId="32" applyNumberFormat="1" applyFont="1" applyFill="1" applyBorder="1" applyAlignment="1">
      <alignment horizontal="right" vertical="center" wrapText="1"/>
    </xf>
    <xf numFmtId="0" fontId="15" fillId="0" borderId="11" xfId="0" applyFont="1" applyBorder="1" applyAlignment="1">
      <alignment horizontal="center" vertical="center"/>
    </xf>
    <xf numFmtId="184" fontId="15" fillId="0" borderId="5" xfId="32" applyNumberFormat="1" applyFont="1" applyFill="1" applyBorder="1" applyAlignment="1">
      <alignment horizontal="right" vertical="center"/>
    </xf>
    <xf numFmtId="1" fontId="7" fillId="0" borderId="5" xfId="0" applyNumberFormat="1" applyFont="1" applyBorder="1" applyAlignment="1">
      <alignment horizontal="justify" vertical="top" wrapText="1"/>
    </xf>
    <xf numFmtId="0" fontId="0" fillId="0" borderId="5" xfId="0" applyBorder="1" applyAlignment="1">
      <alignment horizontal="justify" vertical="top" wrapText="1"/>
    </xf>
    <xf numFmtId="3" fontId="0" fillId="0" borderId="5" xfId="0" applyNumberFormat="1" applyBorder="1" applyAlignment="1">
      <alignment horizontal="center" vertical="center" wrapText="1"/>
    </xf>
    <xf numFmtId="1" fontId="7" fillId="0" borderId="11" xfId="0" applyNumberFormat="1" applyFont="1" applyBorder="1" applyAlignment="1">
      <alignment vertical="center" wrapText="1"/>
    </xf>
    <xf numFmtId="0" fontId="0" fillId="0" borderId="11" xfId="0" applyBorder="1" applyAlignment="1">
      <alignment horizontal="justify" vertical="center" wrapText="1"/>
    </xf>
    <xf numFmtId="4" fontId="12" fillId="0" borderId="5" xfId="0" applyNumberFormat="1" applyFont="1" applyBorder="1" applyAlignment="1">
      <alignment horizontal="center" vertical="center"/>
    </xf>
    <xf numFmtId="0" fontId="0" fillId="0" borderId="45" xfId="0" applyBorder="1" applyAlignment="1">
      <alignment horizontal="center" vertical="center" wrapText="1"/>
    </xf>
    <xf numFmtId="0" fontId="7" fillId="0" borderId="46" xfId="0" applyFont="1" applyBorder="1" applyAlignment="1">
      <alignment horizontal="justify" vertical="center" wrapText="1"/>
    </xf>
    <xf numFmtId="3" fontId="0" fillId="0" borderId="11" xfId="0" applyNumberFormat="1" applyBorder="1" applyAlignment="1">
      <alignment horizontal="center" vertical="center" wrapText="1"/>
    </xf>
    <xf numFmtId="1" fontId="0" fillId="0" borderId="10" xfId="0" applyNumberFormat="1" applyBorder="1" applyAlignment="1">
      <alignment horizontal="justify" vertical="center" wrapText="1"/>
    </xf>
    <xf numFmtId="0" fontId="35" fillId="0" borderId="0" xfId="0" applyFont="1" applyAlignment="1">
      <alignment horizontal="center" vertical="center" wrapText="1"/>
    </xf>
    <xf numFmtId="0" fontId="15" fillId="0" borderId="11" xfId="0" applyFont="1" applyBorder="1" applyAlignment="1">
      <alignment horizontal="center" vertical="center" wrapText="1"/>
    </xf>
    <xf numFmtId="49" fontId="0" fillId="0" borderId="5" xfId="0" applyNumberFormat="1" applyBorder="1" applyAlignment="1">
      <alignment horizontal="justify" vertical="center" wrapText="1"/>
    </xf>
    <xf numFmtId="184" fontId="15" fillId="0" borderId="5" xfId="218" applyNumberFormat="1" applyFont="1" applyFill="1" applyBorder="1" applyAlignment="1">
      <alignment horizontal="right" vertical="center"/>
    </xf>
    <xf numFmtId="1" fontId="11" fillId="0" borderId="5" xfId="0" applyNumberFormat="1" applyFont="1" applyBorder="1" applyAlignment="1">
      <alignment horizontal="center" vertical="center" wrapText="1"/>
    </xf>
    <xf numFmtId="0" fontId="11" fillId="0" borderId="11" xfId="81" applyBorder="1" applyAlignment="1">
      <alignment horizontal="center" vertical="center"/>
    </xf>
    <xf numFmtId="184" fontId="11" fillId="0" borderId="5" xfId="218" applyNumberFormat="1" applyFont="1" applyFill="1" applyBorder="1" applyAlignment="1">
      <alignment horizontal="right" vertical="center" wrapText="1"/>
    </xf>
    <xf numFmtId="0" fontId="15" fillId="0" borderId="5" xfId="0" applyFont="1" applyBorder="1" applyAlignment="1">
      <alignment horizontal="center" vertical="center"/>
    </xf>
    <xf numFmtId="3" fontId="15" fillId="0" borderId="5" xfId="0" applyNumberFormat="1" applyFont="1" applyBorder="1" applyAlignment="1">
      <alignment horizontal="justify" vertical="center" wrapText="1"/>
    </xf>
    <xf numFmtId="3" fontId="15" fillId="0" borderId="11" xfId="0" applyNumberFormat="1" applyFont="1" applyBorder="1" applyAlignment="1">
      <alignment horizontal="center" vertical="center"/>
    </xf>
    <xf numFmtId="0" fontId="0" fillId="0" borderId="47" xfId="0" applyBorder="1" applyAlignment="1">
      <alignment horizontal="center" vertical="center" wrapText="1"/>
    </xf>
    <xf numFmtId="0" fontId="11" fillId="0" borderId="47" xfId="37" applyBorder="1" applyAlignment="1">
      <alignment horizontal="center" vertical="center"/>
    </xf>
    <xf numFmtId="0" fontId="11" fillId="0" borderId="11" xfId="37" applyBorder="1" applyAlignment="1">
      <alignment horizontal="center" vertical="center"/>
    </xf>
    <xf numFmtId="1" fontId="11" fillId="0" borderId="5" xfId="42" applyNumberFormat="1" applyFont="1" applyFill="1" applyBorder="1" applyAlignment="1">
      <alignment horizontal="center" vertical="center"/>
    </xf>
    <xf numFmtId="0" fontId="11" fillId="0" borderId="5" xfId="37" applyBorder="1" applyAlignment="1">
      <alignment horizontal="center" vertical="center"/>
    </xf>
    <xf numFmtId="1" fontId="11" fillId="0" borderId="5" xfId="42" applyNumberFormat="1" applyFont="1" applyFill="1" applyBorder="1" applyAlignment="1">
      <alignment horizontal="center" vertical="center" wrapText="1"/>
    </xf>
    <xf numFmtId="49" fontId="11" fillId="0" borderId="5" xfId="42" applyNumberFormat="1" applyFont="1" applyFill="1" applyBorder="1" applyAlignment="1">
      <alignment horizontal="justify" vertical="center" wrapText="1"/>
    </xf>
    <xf numFmtId="49" fontId="15" fillId="0" borderId="5" xfId="16" applyNumberFormat="1" applyFont="1" applyBorder="1" applyAlignment="1">
      <alignment horizontal="justify" vertical="center" wrapText="1"/>
    </xf>
    <xf numFmtId="0" fontId="11" fillId="0" borderId="11" xfId="285" applyBorder="1" applyAlignment="1">
      <alignment horizontal="center" vertical="center"/>
    </xf>
    <xf numFmtId="184" fontId="11" fillId="0" borderId="5" xfId="220" applyNumberFormat="1" applyFont="1" applyFill="1" applyBorder="1" applyAlignment="1">
      <alignment horizontal="right" vertical="center" wrapText="1"/>
    </xf>
    <xf numFmtId="3" fontId="37" fillId="0" borderId="5" xfId="0" applyNumberFormat="1" applyFont="1" applyBorder="1" applyAlignment="1">
      <alignment horizontal="center" vertical="center"/>
    </xf>
    <xf numFmtId="3" fontId="10" fillId="0" borderId="5" xfId="0" applyNumberFormat="1" applyFont="1" applyBorder="1" applyAlignment="1">
      <alignment vertical="center"/>
    </xf>
    <xf numFmtId="0" fontId="11" fillId="0" borderId="5" xfId="42" applyNumberFormat="1" applyFont="1" applyFill="1" applyBorder="1" applyAlignment="1">
      <alignment horizontal="justify" vertical="center" wrapText="1"/>
    </xf>
    <xf numFmtId="3" fontId="15" fillId="0" borderId="5" xfId="0" applyNumberFormat="1" applyFont="1" applyBorder="1" applyAlignment="1">
      <alignment horizontal="center" vertical="center"/>
    </xf>
    <xf numFmtId="3" fontId="0" fillId="0" borderId="11" xfId="0" applyNumberFormat="1" applyBorder="1" applyAlignment="1">
      <alignment horizontal="center" vertical="center"/>
    </xf>
    <xf numFmtId="184" fontId="15" fillId="0" borderId="5" xfId="218" applyNumberFormat="1" applyFont="1" applyFill="1" applyBorder="1" applyAlignment="1">
      <alignment horizontal="right" vertical="center" wrapText="1"/>
    </xf>
    <xf numFmtId="1" fontId="15" fillId="0" borderId="5" xfId="42" applyNumberFormat="1" applyFont="1" applyFill="1" applyBorder="1" applyAlignment="1">
      <alignment horizontal="center" vertical="center" wrapText="1"/>
    </xf>
    <xf numFmtId="0" fontId="15" fillId="0" borderId="5" xfId="42" applyNumberFormat="1" applyFont="1" applyFill="1" applyBorder="1" applyAlignment="1">
      <alignment horizontal="justify" vertical="center" wrapText="1"/>
    </xf>
    <xf numFmtId="184" fontId="15" fillId="0" borderId="5" xfId="0" applyNumberFormat="1" applyFont="1" applyBorder="1" applyAlignment="1">
      <alignment horizontal="right" vertical="center"/>
    </xf>
    <xf numFmtId="184" fontId="27" fillId="7" borderId="16" xfId="0" applyNumberFormat="1" applyFont="1" applyFill="1" applyBorder="1" applyAlignment="1">
      <alignment horizontal="right" vertical="center"/>
    </xf>
    <xf numFmtId="0" fontId="0" fillId="7" borderId="15" xfId="0" applyFill="1" applyBorder="1" applyAlignment="1">
      <alignment wrapText="1"/>
    </xf>
    <xf numFmtId="184" fontId="5" fillId="0" borderId="0" xfId="0" applyNumberFormat="1" applyFont="1" applyAlignment="1">
      <alignment horizontal="right"/>
    </xf>
    <xf numFmtId="0" fontId="8" fillId="0" borderId="0" xfId="0" applyFont="1" applyAlignment="1">
      <alignment wrapText="1"/>
    </xf>
    <xf numFmtId="0" fontId="0" fillId="0" borderId="0" xfId="0" applyAlignment="1">
      <alignment wrapText="1"/>
    </xf>
    <xf numFmtId="184" fontId="0" fillId="0" borderId="0" xfId="0" applyNumberFormat="1" applyAlignment="1">
      <alignment horizontal="right"/>
    </xf>
    <xf numFmtId="191" fontId="0" fillId="0" borderId="0" xfId="367" applyNumberFormat="1" applyFont="1"/>
    <xf numFmtId="192" fontId="0" fillId="0" borderId="0" xfId="0" applyNumberFormat="1"/>
    <xf numFmtId="193" fontId="3" fillId="9" borderId="6" xfId="0" applyNumberFormat="1" applyFont="1" applyFill="1" applyBorder="1" applyAlignment="1">
      <alignment horizontal="center" vertical="center"/>
    </xf>
    <xf numFmtId="193" fontId="12" fillId="9" borderId="5" xfId="32" applyNumberFormat="1" applyFont="1" applyFill="1" applyBorder="1" applyAlignment="1">
      <alignment horizontal="center" vertical="center"/>
    </xf>
    <xf numFmtId="168" fontId="4" fillId="0" borderId="5" xfId="1" applyNumberFormat="1" applyFont="1" applyBorder="1" applyAlignment="1">
      <alignment vertical="center" wrapText="1"/>
    </xf>
    <xf numFmtId="14" fontId="7" fillId="0" borderId="5" xfId="1" applyNumberFormat="1" applyFont="1" applyBorder="1" applyAlignment="1">
      <alignment horizontal="center" vertical="center" wrapText="1"/>
    </xf>
    <xf numFmtId="0" fontId="3" fillId="0" borderId="5" xfId="1" applyFont="1" applyBorder="1" applyAlignment="1">
      <alignment horizontal="center" vertical="center"/>
    </xf>
    <xf numFmtId="0" fontId="3" fillId="0" borderId="5" xfId="1" applyFont="1" applyBorder="1" applyAlignment="1">
      <alignment horizontal="center"/>
    </xf>
    <xf numFmtId="168" fontId="7" fillId="0" borderId="13" xfId="1" applyNumberFormat="1" applyFont="1" applyBorder="1" applyAlignment="1">
      <alignment horizontal="center" vertical="center" wrapText="1"/>
    </xf>
    <xf numFmtId="168" fontId="4" fillId="0" borderId="13" xfId="1" applyNumberFormat="1" applyFont="1" applyBorder="1" applyAlignment="1">
      <alignment horizontal="center" vertical="center" wrapText="1"/>
    </xf>
    <xf numFmtId="0" fontId="12" fillId="0" borderId="5" xfId="0" applyFont="1" applyBorder="1" applyAlignment="1">
      <alignment vertical="center" wrapText="1"/>
    </xf>
    <xf numFmtId="181" fontId="0" fillId="0" borderId="13" xfId="7" applyNumberFormat="1" applyFont="1" applyFill="1" applyBorder="1" applyAlignment="1">
      <alignment vertical="center" wrapText="1"/>
    </xf>
    <xf numFmtId="181" fontId="0" fillId="0" borderId="13" xfId="7" applyNumberFormat="1" applyFont="1" applyFill="1" applyBorder="1" applyAlignment="1">
      <alignment horizontal="justify" vertical="center" wrapText="1"/>
    </xf>
    <xf numFmtId="172" fontId="0" fillId="0" borderId="13" xfId="0" applyNumberFormat="1" applyBorder="1" applyAlignment="1">
      <alignment horizontal="center" vertical="center" wrapText="1"/>
    </xf>
    <xf numFmtId="0" fontId="7" fillId="0" borderId="13" xfId="0" applyFont="1" applyBorder="1" applyAlignment="1">
      <alignment horizontal="justify" vertical="center" wrapText="1"/>
    </xf>
    <xf numFmtId="181" fontId="0" fillId="0" borderId="5" xfId="7" applyNumberFormat="1" applyFont="1" applyFill="1" applyBorder="1" applyAlignment="1">
      <alignment horizontal="center" vertical="center" wrapText="1"/>
    </xf>
    <xf numFmtId="1" fontId="36" fillId="0" borderId="5" xfId="0" applyNumberFormat="1" applyFont="1" applyBorder="1" applyAlignment="1">
      <alignment horizontal="center" vertical="center" wrapText="1"/>
    </xf>
    <xf numFmtId="3" fontId="36" fillId="0" borderId="5" xfId="0" applyNumberFormat="1" applyFont="1" applyBorder="1" applyAlignment="1">
      <alignment horizontal="center" vertical="center" wrapText="1"/>
    </xf>
    <xf numFmtId="3" fontId="12" fillId="0" borderId="19" xfId="11" applyNumberFormat="1" applyFont="1" applyBorder="1" applyAlignment="1">
      <alignment horizontal="center" vertical="center" wrapText="1"/>
    </xf>
    <xf numFmtId="3" fontId="37" fillId="0" borderId="5" xfId="0" applyNumberFormat="1" applyFont="1" applyBorder="1" applyAlignment="1">
      <alignment horizontal="center" vertical="center" wrapText="1"/>
    </xf>
    <xf numFmtId="0" fontId="0" fillId="0" borderId="0" xfId="0" applyAlignment="1">
      <alignment horizontal="center" vertical="center"/>
    </xf>
    <xf numFmtId="0" fontId="7" fillId="0" borderId="19" xfId="0" applyFont="1" applyBorder="1" applyAlignment="1">
      <alignment horizontal="center" vertical="center" wrapText="1"/>
    </xf>
    <xf numFmtId="184" fontId="3" fillId="0" borderId="5" xfId="7" applyNumberFormat="1" applyFont="1" applyFill="1" applyBorder="1" applyAlignment="1">
      <alignment horizontal="center" vertical="center" wrapText="1"/>
    </xf>
    <xf numFmtId="181" fontId="3" fillId="0" borderId="5" xfId="7" applyNumberFormat="1" applyFont="1" applyFill="1" applyBorder="1" applyAlignment="1">
      <alignment vertical="center" wrapText="1"/>
    </xf>
    <xf numFmtId="181" fontId="3" fillId="0" borderId="5" xfId="7" applyNumberFormat="1" applyFont="1" applyFill="1" applyBorder="1" applyAlignment="1">
      <alignment horizontal="justify" vertical="center" wrapText="1"/>
    </xf>
    <xf numFmtId="172" fontId="3" fillId="0" borderId="5" xfId="0" applyNumberFormat="1" applyFont="1" applyBorder="1" applyAlignment="1">
      <alignment horizontal="center" vertical="center" wrapText="1"/>
    </xf>
    <xf numFmtId="14" fontId="3" fillId="0" borderId="5" xfId="0" applyNumberFormat="1" applyFont="1" applyBorder="1" applyAlignment="1">
      <alignment horizontal="center" vertical="center" wrapText="1"/>
    </xf>
    <xf numFmtId="0" fontId="3" fillId="0" borderId="5" xfId="1" applyFont="1" applyBorder="1" applyAlignment="1" applyProtection="1">
      <alignment horizontal="justify" vertical="center" wrapText="1"/>
      <protection locked="0"/>
    </xf>
    <xf numFmtId="1" fontId="3" fillId="0" borderId="5" xfId="0" applyNumberFormat="1" applyFont="1" applyBorder="1" applyAlignment="1" applyProtection="1">
      <alignment horizontal="left" vertical="center" wrapText="1"/>
      <protection locked="0"/>
    </xf>
    <xf numFmtId="49" fontId="15" fillId="0" borderId="5" xfId="0" applyNumberFormat="1" applyFont="1" applyBorder="1" applyAlignment="1">
      <alignment horizontal="center" vertical="center" wrapText="1"/>
    </xf>
    <xf numFmtId="1" fontId="3" fillId="0" borderId="28" xfId="0" applyNumberFormat="1" applyFont="1" applyBorder="1" applyAlignment="1" applyProtection="1">
      <alignment horizontal="left" vertical="center" wrapText="1"/>
      <protection locked="0"/>
    </xf>
    <xf numFmtId="1" fontId="12" fillId="0" borderId="5" xfId="0" applyNumberFormat="1" applyFont="1" applyBorder="1" applyAlignment="1">
      <alignment horizontal="justify" vertical="center" wrapText="1"/>
    </xf>
    <xf numFmtId="185" fontId="12" fillId="0" borderId="5" xfId="0" applyNumberFormat="1" applyFont="1" applyBorder="1" applyAlignment="1">
      <alignment horizontal="right" vertical="center"/>
    </xf>
    <xf numFmtId="0" fontId="15" fillId="0" borderId="5" xfId="371" applyFont="1" applyBorder="1" applyAlignment="1">
      <alignment horizontal="center" vertical="center" wrapText="1"/>
    </xf>
    <xf numFmtId="0" fontId="15" fillId="0" borderId="5" xfId="373" applyFont="1" applyBorder="1" applyAlignment="1">
      <alignment horizontal="center" vertical="center" wrapText="1"/>
    </xf>
    <xf numFmtId="1" fontId="15" fillId="0" borderId="5" xfId="373" applyNumberFormat="1" applyFont="1" applyBorder="1" applyAlignment="1">
      <alignment horizontal="center" vertical="center"/>
    </xf>
    <xf numFmtId="1" fontId="15" fillId="0" borderId="5" xfId="371" applyNumberFormat="1" applyFont="1" applyBorder="1" applyAlignment="1">
      <alignment horizontal="center" vertical="center" wrapText="1"/>
    </xf>
    <xf numFmtId="3" fontId="15" fillId="0" borderId="5" xfId="371" applyNumberFormat="1" applyFont="1" applyBorder="1" applyAlignment="1">
      <alignment horizontal="center" vertical="center" wrapText="1"/>
    </xf>
    <xf numFmtId="0" fontId="11" fillId="0" borderId="5" xfId="371" applyBorder="1" applyAlignment="1">
      <alignment horizontal="center" vertical="center" wrapText="1"/>
    </xf>
    <xf numFmtId="0" fontId="35" fillId="0" borderId="5" xfId="371" applyFont="1" applyBorder="1" applyAlignment="1">
      <alignment horizontal="center" vertical="center" wrapText="1"/>
    </xf>
    <xf numFmtId="3" fontId="11" fillId="0" borderId="10" xfId="371" applyNumberFormat="1" applyBorder="1" applyAlignment="1">
      <alignment horizontal="center" vertical="center" wrapText="1"/>
    </xf>
    <xf numFmtId="14" fontId="11" fillId="0" borderId="5" xfId="371" applyNumberFormat="1" applyBorder="1" applyAlignment="1">
      <alignment horizontal="center" vertical="center" wrapText="1"/>
    </xf>
    <xf numFmtId="0" fontId="11" fillId="0" borderId="0" xfId="371" applyAlignment="1">
      <alignment horizontal="center"/>
    </xf>
    <xf numFmtId="3" fontId="15" fillId="0" borderId="29" xfId="371" applyNumberFormat="1" applyFont="1" applyBorder="1" applyAlignment="1">
      <alignment horizontal="center" vertical="center" wrapText="1"/>
    </xf>
    <xf numFmtId="3" fontId="15" fillId="0" borderId="12" xfId="371" applyNumberFormat="1" applyFont="1" applyBorder="1" applyAlignment="1">
      <alignment horizontal="center" vertical="center" wrapText="1"/>
    </xf>
    <xf numFmtId="0" fontId="11" fillId="0" borderId="13" xfId="371" applyBorder="1" applyAlignment="1">
      <alignment horizontal="center" vertical="center" wrapText="1"/>
    </xf>
    <xf numFmtId="3" fontId="15" fillId="0" borderId="19" xfId="371" applyNumberFormat="1" applyFont="1" applyBorder="1" applyAlignment="1">
      <alignment horizontal="center" vertical="center" wrapText="1"/>
    </xf>
    <xf numFmtId="0" fontId="11" fillId="0" borderId="10" xfId="371" applyBorder="1" applyAlignment="1">
      <alignment horizontal="center" vertical="center" wrapText="1"/>
    </xf>
    <xf numFmtId="3" fontId="15" fillId="0" borderId="32" xfId="371" applyNumberFormat="1" applyFont="1" applyBorder="1" applyAlignment="1">
      <alignment horizontal="center" vertical="center" wrapText="1"/>
    </xf>
    <xf numFmtId="0" fontId="42" fillId="0" borderId="25" xfId="371" applyFont="1" applyBorder="1" applyAlignment="1">
      <alignment horizontal="center" vertical="center" wrapText="1"/>
    </xf>
    <xf numFmtId="0" fontId="0" fillId="0" borderId="8" xfId="371" applyFont="1" applyBorder="1" applyAlignment="1">
      <alignment horizontal="center" vertical="center" wrapText="1"/>
    </xf>
    <xf numFmtId="3" fontId="11" fillId="0" borderId="22" xfId="371" applyNumberFormat="1" applyBorder="1" applyAlignment="1">
      <alignment horizontal="center" vertical="center" wrapText="1"/>
    </xf>
    <xf numFmtId="3" fontId="11" fillId="0" borderId="32" xfId="371" applyNumberFormat="1" applyBorder="1" applyAlignment="1">
      <alignment horizontal="center" vertical="center" wrapText="1"/>
    </xf>
    <xf numFmtId="0" fontId="11" fillId="0" borderId="8" xfId="371" applyBorder="1" applyAlignment="1">
      <alignment horizontal="center" vertical="center" wrapText="1"/>
    </xf>
    <xf numFmtId="186" fontId="11" fillId="0" borderId="32" xfId="371" applyNumberFormat="1" applyBorder="1" applyAlignment="1">
      <alignment horizontal="center" vertical="center" wrapText="1"/>
    </xf>
    <xf numFmtId="0" fontId="15" fillId="0" borderId="5" xfId="373" applyFont="1" applyBorder="1" applyAlignment="1">
      <alignment horizontal="center" vertical="center" wrapText="1" shrinkToFit="1"/>
    </xf>
    <xf numFmtId="3" fontId="15" fillId="0" borderId="13" xfId="371" applyNumberFormat="1" applyFont="1" applyBorder="1" applyAlignment="1">
      <alignment horizontal="center" vertical="center" wrapText="1"/>
    </xf>
    <xf numFmtId="0" fontId="15" fillId="0" borderId="5" xfId="373" applyFont="1" applyBorder="1" applyAlignment="1">
      <alignment horizontal="justify" vertical="center" wrapText="1"/>
    </xf>
    <xf numFmtId="0" fontId="11" fillId="0" borderId="29" xfId="371" applyBorder="1" applyAlignment="1">
      <alignment horizontal="center" vertical="center" wrapText="1"/>
    </xf>
    <xf numFmtId="0" fontId="11" fillId="0" borderId="11" xfId="371" applyBorder="1" applyAlignment="1">
      <alignment horizontal="center" vertical="center" wrapText="1"/>
    </xf>
    <xf numFmtId="3" fontId="15" fillId="0" borderId="23" xfId="371" applyNumberFormat="1" applyFont="1" applyBorder="1" applyAlignment="1">
      <alignment horizontal="center" vertical="center" wrapText="1"/>
    </xf>
    <xf numFmtId="0" fontId="11" fillId="0" borderId="19" xfId="371" applyBorder="1" applyAlignment="1">
      <alignment horizontal="center" vertical="center" wrapText="1"/>
    </xf>
    <xf numFmtId="187" fontId="15" fillId="0" borderId="5" xfId="373" applyNumberFormat="1" applyFont="1" applyBorder="1" applyAlignment="1">
      <alignment horizontal="center" vertical="center"/>
    </xf>
    <xf numFmtId="3" fontId="15" fillId="0" borderId="26" xfId="371" applyNumberFormat="1" applyFont="1" applyBorder="1" applyAlignment="1">
      <alignment horizontal="center" vertical="center" wrapText="1"/>
    </xf>
    <xf numFmtId="0" fontId="11" fillId="0" borderId="26" xfId="371" applyBorder="1" applyAlignment="1">
      <alignment horizontal="center" vertical="center" wrapText="1"/>
    </xf>
    <xf numFmtId="0" fontId="11" fillId="0" borderId="22" xfId="371" applyBorder="1" applyAlignment="1">
      <alignment horizontal="center" vertical="center" wrapText="1"/>
    </xf>
    <xf numFmtId="1" fontId="15" fillId="0" borderId="5" xfId="373" applyNumberFormat="1" applyFont="1" applyBorder="1" applyAlignment="1">
      <alignment horizontal="center" vertical="center" wrapText="1"/>
    </xf>
    <xf numFmtId="0" fontId="11" fillId="0" borderId="7" xfId="371" applyBorder="1" applyAlignment="1">
      <alignment horizontal="center" vertical="center" wrapText="1"/>
    </xf>
    <xf numFmtId="172" fontId="15" fillId="0" borderId="5" xfId="280" applyFont="1" applyBorder="1" applyAlignment="1">
      <alignment horizontal="center" vertical="center" wrapText="1"/>
    </xf>
    <xf numFmtId="172" fontId="15" fillId="0" borderId="5" xfId="280" applyFont="1" applyBorder="1" applyAlignment="1">
      <alignment horizontal="justify" vertical="center" wrapText="1"/>
    </xf>
    <xf numFmtId="0" fontId="15" fillId="0" borderId="5" xfId="283" applyFont="1" applyBorder="1" applyAlignment="1">
      <alignment horizontal="center" vertical="center" wrapText="1"/>
    </xf>
    <xf numFmtId="0" fontId="15" fillId="0" borderId="5" xfId="283" applyFont="1" applyBorder="1" applyAlignment="1">
      <alignment horizontal="justify" vertical="center" wrapText="1"/>
    </xf>
    <xf numFmtId="1" fontId="15" fillId="0" borderId="5" xfId="283" applyNumberFormat="1" applyFont="1" applyBorder="1" applyAlignment="1">
      <alignment horizontal="center" vertical="center" wrapText="1"/>
    </xf>
    <xf numFmtId="1" fontId="15" fillId="0" borderId="5" xfId="280" applyNumberFormat="1" applyFont="1" applyBorder="1" applyAlignment="1">
      <alignment horizontal="justify" vertical="center" wrapText="1"/>
    </xf>
    <xf numFmtId="172" fontId="18" fillId="0" borderId="19" xfId="280" applyBorder="1" applyAlignment="1">
      <alignment horizontal="center" vertical="center" wrapText="1"/>
    </xf>
    <xf numFmtId="167" fontId="15" fillId="0" borderId="32" xfId="375" applyNumberFormat="1" applyFont="1" applyFill="1" applyBorder="1" applyAlignment="1">
      <alignment horizontal="center" vertical="center" wrapText="1"/>
    </xf>
    <xf numFmtId="3" fontId="15" fillId="0" borderId="19" xfId="280" applyNumberFormat="1" applyFont="1" applyBorder="1" applyAlignment="1">
      <alignment horizontal="center" vertical="center" wrapText="1"/>
    </xf>
    <xf numFmtId="0" fontId="18" fillId="0" borderId="19" xfId="280" applyNumberFormat="1" applyBorder="1" applyAlignment="1">
      <alignment horizontal="center" vertical="center" wrapText="1"/>
    </xf>
    <xf numFmtId="172" fontId="18" fillId="0" borderId="32" xfId="280" applyBorder="1" applyAlignment="1">
      <alignment horizontal="center" vertical="center" wrapText="1"/>
    </xf>
    <xf numFmtId="172" fontId="18" fillId="0" borderId="10" xfId="280" applyBorder="1" applyAlignment="1">
      <alignment horizontal="center" vertical="center" wrapText="1"/>
    </xf>
    <xf numFmtId="172" fontId="18" fillId="0" borderId="5" xfId="280" applyBorder="1" applyAlignment="1">
      <alignment horizontal="center" vertical="center" wrapText="1"/>
    </xf>
    <xf numFmtId="172" fontId="18" fillId="0" borderId="0" xfId="280"/>
    <xf numFmtId="2" fontId="15" fillId="0" borderId="5" xfId="373" applyNumberFormat="1" applyFont="1" applyBorder="1" applyAlignment="1">
      <alignment horizontal="center" vertical="center"/>
    </xf>
    <xf numFmtId="3" fontId="15" fillId="0" borderId="11" xfId="371" applyNumberFormat="1" applyFont="1" applyBorder="1" applyAlignment="1">
      <alignment horizontal="center" vertical="center" wrapText="1"/>
    </xf>
    <xf numFmtId="49" fontId="15" fillId="0" borderId="5" xfId="280" applyNumberFormat="1" applyFont="1" applyBorder="1" applyAlignment="1">
      <alignment horizontal="center" vertical="center" wrapText="1"/>
    </xf>
    <xf numFmtId="49" fontId="18" fillId="0" borderId="5" xfId="280" applyNumberFormat="1" applyBorder="1" applyAlignment="1">
      <alignment horizontal="center" vertical="center" wrapText="1"/>
    </xf>
    <xf numFmtId="1" fontId="18" fillId="0" borderId="19" xfId="280" applyNumberFormat="1" applyBorder="1" applyAlignment="1">
      <alignment horizontal="justify" vertical="center" wrapText="1"/>
    </xf>
    <xf numFmtId="172" fontId="18" fillId="0" borderId="19" xfId="280" applyBorder="1" applyAlignment="1">
      <alignment horizontal="justify" vertical="center" wrapText="1"/>
    </xf>
    <xf numFmtId="164" fontId="15" fillId="0" borderId="5" xfId="375" applyNumberFormat="1" applyFont="1" applyFill="1" applyBorder="1" applyAlignment="1">
      <alignment horizontal="right" vertical="center" wrapText="1"/>
    </xf>
    <xf numFmtId="0" fontId="42" fillId="0" borderId="5" xfId="371" applyFont="1" applyBorder="1" applyAlignment="1">
      <alignment horizontal="center" vertical="center" wrapText="1"/>
    </xf>
    <xf numFmtId="1" fontId="11" fillId="0" borderId="5" xfId="371" applyNumberFormat="1" applyBorder="1" applyAlignment="1">
      <alignment horizontal="center" vertical="center" wrapText="1"/>
    </xf>
    <xf numFmtId="0" fontId="15" fillId="0" borderId="0" xfId="371" applyFont="1" applyAlignment="1">
      <alignment horizontal="center" vertical="center" wrapText="1"/>
    </xf>
    <xf numFmtId="0" fontId="0" fillId="0" borderId="29" xfId="371" applyFont="1" applyBorder="1" applyAlignment="1">
      <alignment horizontal="center" vertical="center" wrapText="1"/>
    </xf>
    <xf numFmtId="0" fontId="0" fillId="0" borderId="13" xfId="371" applyFont="1" applyBorder="1" applyAlignment="1">
      <alignment horizontal="center" vertical="center" wrapText="1"/>
    </xf>
    <xf numFmtId="0" fontId="11" fillId="0" borderId="35" xfId="371" applyBorder="1" applyAlignment="1">
      <alignment horizontal="center" vertical="center" wrapText="1"/>
    </xf>
    <xf numFmtId="1" fontId="15" fillId="0" borderId="5" xfId="371" applyNumberFormat="1" applyFont="1" applyBorder="1" applyAlignment="1">
      <alignment horizontal="center" vertical="center"/>
    </xf>
    <xf numFmtId="188" fontId="11" fillId="0" borderId="11" xfId="369" applyNumberFormat="1" applyFill="1" applyBorder="1" applyAlignment="1">
      <alignment horizontal="center" vertical="center" wrapText="1"/>
    </xf>
    <xf numFmtId="188" fontId="11" fillId="0" borderId="11" xfId="371" applyNumberFormat="1" applyBorder="1" applyAlignment="1">
      <alignment horizontal="center" vertical="center" wrapText="1"/>
    </xf>
    <xf numFmtId="1" fontId="11" fillId="0" borderId="11" xfId="371" applyNumberFormat="1" applyBorder="1" applyAlignment="1">
      <alignment horizontal="center" vertical="center" wrapText="1"/>
    </xf>
    <xf numFmtId="49" fontId="15" fillId="0" borderId="5" xfId="371" applyNumberFormat="1" applyFont="1" applyBorder="1" applyAlignment="1">
      <alignment horizontal="center" vertical="center" wrapText="1"/>
    </xf>
    <xf numFmtId="49" fontId="15" fillId="0" borderId="5" xfId="0" applyNumberFormat="1" applyFont="1" applyBorder="1" applyAlignment="1">
      <alignment horizontal="justify" vertical="center" wrapText="1"/>
    </xf>
    <xf numFmtId="1" fontId="0" fillId="0" borderId="5" xfId="0" applyNumberFormat="1" applyBorder="1" applyAlignment="1">
      <alignment horizontal="center" vertical="center"/>
    </xf>
    <xf numFmtId="0" fontId="0" fillId="0" borderId="0" xfId="0" applyAlignment="1">
      <alignment horizontal="left" vertical="center" wrapText="1"/>
    </xf>
    <xf numFmtId="167" fontId="35" fillId="0" borderId="5" xfId="0" applyNumberFormat="1" applyFont="1" applyBorder="1" applyAlignment="1">
      <alignment horizontal="left" vertical="center" wrapText="1"/>
    </xf>
    <xf numFmtId="0" fontId="35" fillId="0" borderId="5" xfId="0" applyFont="1" applyBorder="1" applyAlignment="1">
      <alignment horizontal="left" vertical="center"/>
    </xf>
    <xf numFmtId="0" fontId="0" fillId="0" borderId="5" xfId="0" applyBorder="1" applyAlignment="1">
      <alignment horizontal="left" wrapText="1"/>
    </xf>
    <xf numFmtId="186" fontId="0" fillId="0" borderId="23" xfId="0" applyNumberFormat="1" applyBorder="1"/>
    <xf numFmtId="167" fontId="15" fillId="0" borderId="7" xfId="367" applyFont="1" applyFill="1" applyBorder="1" applyAlignment="1">
      <alignment vertical="center" wrapText="1"/>
    </xf>
    <xf numFmtId="167" fontId="15" fillId="0" borderId="19" xfId="367" applyFont="1" applyFill="1" applyBorder="1" applyAlignment="1">
      <alignment vertical="center" wrapText="1"/>
    </xf>
    <xf numFmtId="167" fontId="15" fillId="0" borderId="10" xfId="367" applyFont="1" applyFill="1" applyBorder="1" applyAlignment="1">
      <alignment vertical="center" wrapText="1"/>
    </xf>
    <xf numFmtId="0" fontId="3" fillId="0" borderId="5" xfId="0" applyFont="1" applyBorder="1" applyAlignment="1">
      <alignment horizontal="justify" vertical="center"/>
    </xf>
    <xf numFmtId="49" fontId="0" fillId="0" borderId="5" xfId="0" applyNumberFormat="1" applyBorder="1" applyAlignment="1">
      <alignment horizontal="center" vertical="center"/>
    </xf>
    <xf numFmtId="0" fontId="43" fillId="0" borderId="5" xfId="0" applyFont="1" applyBorder="1" applyAlignment="1">
      <alignment horizontal="left" vertical="center" wrapText="1"/>
    </xf>
    <xf numFmtId="167" fontId="15" fillId="0" borderId="11" xfId="367" applyFont="1" applyFill="1" applyBorder="1" applyAlignment="1">
      <alignment vertical="center" wrapText="1"/>
    </xf>
    <xf numFmtId="0" fontId="0" fillId="0" borderId="5" xfId="0" applyBorder="1" applyAlignment="1">
      <alignment horizontal="justify" vertical="center"/>
    </xf>
    <xf numFmtId="1" fontId="0" fillId="0" borderId="11" xfId="0" applyNumberFormat="1" applyBorder="1" applyAlignment="1">
      <alignment horizontal="center" vertical="center"/>
    </xf>
    <xf numFmtId="0" fontId="0" fillId="0" borderId="8" xfId="0" applyBorder="1" applyAlignment="1">
      <alignment horizontal="left" vertical="center" wrapText="1"/>
    </xf>
    <xf numFmtId="1" fontId="0" fillId="0" borderId="19" xfId="0" applyNumberFormat="1" applyBorder="1" applyAlignment="1">
      <alignment horizontal="center" vertical="center"/>
    </xf>
    <xf numFmtId="0" fontId="0" fillId="0" borderId="19" xfId="0" applyBorder="1" applyAlignment="1">
      <alignment horizontal="center" vertical="center" wrapText="1"/>
    </xf>
    <xf numFmtId="3" fontId="0" fillId="0" borderId="10" xfId="0" applyNumberFormat="1" applyBorder="1" applyAlignment="1">
      <alignment horizontal="center" vertical="center"/>
    </xf>
    <xf numFmtId="167" fontId="3" fillId="0" borderId="5" xfId="18" applyNumberFormat="1" applyFont="1" applyFill="1" applyBorder="1" applyAlignment="1">
      <alignment horizontal="center" vertical="center" wrapText="1"/>
    </xf>
    <xf numFmtId="2" fontId="3" fillId="0" borderId="5" xfId="0" applyNumberFormat="1" applyFont="1" applyBorder="1" applyAlignment="1">
      <alignment horizontal="left" vertical="center" wrapText="1"/>
    </xf>
    <xf numFmtId="167" fontId="3" fillId="0" borderId="5" xfId="0" applyNumberFormat="1" applyFont="1" applyBorder="1" applyAlignment="1">
      <alignment horizontal="justify" vertical="center"/>
    </xf>
    <xf numFmtId="0" fontId="3" fillId="0" borderId="11" xfId="0" applyFont="1" applyBorder="1" applyAlignment="1">
      <alignment horizontal="left" vertical="center" wrapText="1"/>
    </xf>
    <xf numFmtId="0" fontId="0" fillId="0" borderId="13" xfId="0" applyBorder="1" applyAlignment="1">
      <alignment horizontal="left" vertical="center" wrapText="1"/>
    </xf>
    <xf numFmtId="167" fontId="3" fillId="0" borderId="8" xfId="0" applyNumberFormat="1" applyFont="1" applyBorder="1" applyAlignment="1">
      <alignment horizontal="justify" vertical="center"/>
    </xf>
    <xf numFmtId="0" fontId="5" fillId="0" borderId="5" xfId="0" applyFont="1" applyBorder="1" applyAlignment="1">
      <alignment horizontal="justify" vertical="center" wrapText="1"/>
    </xf>
    <xf numFmtId="0" fontId="16" fillId="0" borderId="19" xfId="0" applyFont="1" applyBorder="1" applyAlignment="1">
      <alignment horizontal="center" vertical="center" wrapText="1"/>
    </xf>
    <xf numFmtId="1" fontId="5" fillId="0" borderId="5" xfId="0" applyNumberFormat="1" applyFont="1" applyBorder="1" applyAlignment="1">
      <alignment horizontal="center" vertical="center" wrapText="1"/>
    </xf>
    <xf numFmtId="0" fontId="16" fillId="0" borderId="5" xfId="0" applyFont="1" applyBorder="1" applyAlignment="1">
      <alignment horizontal="center" vertical="center" wrapText="1"/>
    </xf>
    <xf numFmtId="3" fontId="5" fillId="0" borderId="5" xfId="0" applyNumberFormat="1" applyFont="1" applyBorder="1" applyAlignment="1">
      <alignment horizontal="center" vertical="center"/>
    </xf>
    <xf numFmtId="3" fontId="16" fillId="0" borderId="5" xfId="1" applyNumberFormat="1" applyFont="1" applyBorder="1" applyAlignment="1">
      <alignment horizontal="center" vertical="center" textRotation="90" wrapText="1"/>
    </xf>
    <xf numFmtId="0" fontId="35" fillId="0" borderId="13" xfId="1" applyFont="1" applyBorder="1" applyAlignment="1">
      <alignment horizontal="center" vertical="center" wrapText="1"/>
    </xf>
    <xf numFmtId="0" fontId="16" fillId="0" borderId="11" xfId="0" applyFont="1" applyBorder="1" applyAlignment="1">
      <alignment horizontal="center" vertical="center" wrapText="1"/>
    </xf>
    <xf numFmtId="0" fontId="5" fillId="0" borderId="5" xfId="37" applyFont="1" applyBorder="1" applyAlignment="1">
      <alignment horizontal="center" vertical="center" wrapText="1"/>
    </xf>
    <xf numFmtId="0" fontId="5" fillId="0" borderId="0" xfId="37" applyFont="1" applyAlignment="1">
      <alignment horizontal="center" vertical="center" wrapText="1"/>
    </xf>
    <xf numFmtId="1" fontId="28" fillId="0" borderId="5" xfId="37" applyNumberFormat="1" applyFont="1" applyBorder="1" applyAlignment="1">
      <alignment horizontal="center" vertical="center" wrapText="1"/>
    </xf>
    <xf numFmtId="0" fontId="28" fillId="0" borderId="5" xfId="37" applyFont="1" applyBorder="1" applyAlignment="1">
      <alignment horizontal="justify" vertical="center" wrapText="1"/>
    </xf>
    <xf numFmtId="0" fontId="35" fillId="0" borderId="6" xfId="1" applyFont="1" applyBorder="1" applyAlignment="1">
      <alignment horizontal="center" vertical="center" wrapText="1"/>
    </xf>
    <xf numFmtId="0" fontId="35" fillId="0" borderId="37" xfId="1" applyFont="1" applyBorder="1" applyAlignment="1">
      <alignment horizontal="center" vertical="center" wrapText="1"/>
    </xf>
    <xf numFmtId="0" fontId="35" fillId="0" borderId="0" xfId="1" applyFont="1" applyAlignment="1">
      <alignment horizontal="center" vertical="center" wrapText="1"/>
    </xf>
    <xf numFmtId="0" fontId="28" fillId="0" borderId="5" xfId="2" applyFont="1" applyBorder="1" applyAlignment="1">
      <alignment horizontal="justify" vertical="center" wrapText="1"/>
    </xf>
    <xf numFmtId="0" fontId="16" fillId="0" borderId="5" xfId="12" applyFont="1" applyBorder="1" applyAlignment="1">
      <alignment horizontal="center" vertical="center" wrapText="1"/>
    </xf>
    <xf numFmtId="3" fontId="28" fillId="0" borderId="5" xfId="0" applyNumberFormat="1" applyFont="1" applyBorder="1" applyAlignment="1">
      <alignment horizontal="center" vertical="center" wrapText="1"/>
    </xf>
    <xf numFmtId="1" fontId="28" fillId="0" borderId="5" xfId="2" applyNumberFormat="1" applyFont="1" applyBorder="1" applyAlignment="1">
      <alignment horizontal="center" vertical="center" wrapText="1"/>
    </xf>
    <xf numFmtId="0" fontId="16" fillId="0" borderId="5" xfId="244" applyFont="1" applyBorder="1" applyAlignment="1">
      <alignment horizontal="center" vertical="center" wrapText="1"/>
    </xf>
    <xf numFmtId="0" fontId="16" fillId="0" borderId="5" xfId="376" applyFont="1" applyBorder="1" applyAlignment="1">
      <alignment horizontal="center" vertical="center" wrapText="1"/>
    </xf>
    <xf numFmtId="179" fontId="16" fillId="0" borderId="5" xfId="94" applyNumberFormat="1" applyFont="1" applyBorder="1" applyAlignment="1">
      <alignment horizontal="center" vertical="center" wrapText="1"/>
    </xf>
    <xf numFmtId="172" fontId="16" fillId="0" borderId="5" xfId="94" applyFont="1" applyBorder="1" applyAlignment="1">
      <alignment horizontal="center" vertical="center" wrapText="1"/>
    </xf>
    <xf numFmtId="172" fontId="5" fillId="0" borderId="5" xfId="0" applyNumberFormat="1" applyFont="1" applyBorder="1" applyAlignment="1">
      <alignment horizontal="center" vertical="center" wrapText="1"/>
    </xf>
    <xf numFmtId="1" fontId="16" fillId="0" borderId="5" xfId="280" applyNumberFormat="1" applyFont="1" applyBorder="1" applyAlignment="1">
      <alignment horizontal="center" vertical="center" wrapText="1"/>
    </xf>
    <xf numFmtId="172" fontId="16" fillId="0" borderId="5" xfId="280" applyFont="1" applyBorder="1" applyAlignment="1">
      <alignment horizontal="center" vertical="center" wrapText="1"/>
    </xf>
    <xf numFmtId="1" fontId="28" fillId="0" borderId="5" xfId="0" applyNumberFormat="1" applyFont="1" applyBorder="1" applyAlignment="1" applyProtection="1">
      <alignment horizontal="center" vertical="center" wrapText="1"/>
      <protection locked="0"/>
    </xf>
    <xf numFmtId="0" fontId="28" fillId="0" borderId="5" xfId="0" applyFont="1" applyBorder="1" applyAlignment="1" applyProtection="1">
      <alignment horizontal="justify" vertical="center" wrapText="1"/>
      <protection locked="0"/>
    </xf>
    <xf numFmtId="0" fontId="5" fillId="0" borderId="5" xfId="1" applyBorder="1" applyAlignment="1" applyProtection="1">
      <alignment horizontal="center" vertical="center" wrapText="1"/>
      <protection locked="0"/>
    </xf>
    <xf numFmtId="1" fontId="16" fillId="0" borderId="5" xfId="1" applyNumberFormat="1" applyFont="1" applyBorder="1" applyAlignment="1">
      <alignment horizontal="center" vertical="center" textRotation="90" wrapText="1"/>
    </xf>
    <xf numFmtId="0" fontId="5" fillId="0" borderId="8" xfId="0" applyFont="1" applyBorder="1" applyAlignment="1">
      <alignment horizontal="justify" vertical="center" wrapText="1"/>
    </xf>
    <xf numFmtId="49" fontId="5" fillId="0" borderId="5" xfId="0" applyNumberFormat="1" applyFont="1" applyBorder="1" applyAlignment="1">
      <alignment horizontal="center" vertical="center" wrapText="1"/>
    </xf>
    <xf numFmtId="0" fontId="5" fillId="0" borderId="5" xfId="1" applyBorder="1" applyAlignment="1">
      <alignment horizontal="center" vertical="center" wrapText="1"/>
    </xf>
    <xf numFmtId="1" fontId="5" fillId="0" borderId="5" xfId="0" applyNumberFormat="1" applyFont="1" applyBorder="1" applyAlignment="1">
      <alignment horizontal="center" vertical="center"/>
    </xf>
    <xf numFmtId="179" fontId="28" fillId="0" borderId="5" xfId="0" applyNumberFormat="1" applyFont="1" applyBorder="1" applyAlignment="1">
      <alignment horizontal="center" vertical="center" wrapText="1"/>
    </xf>
    <xf numFmtId="0" fontId="28" fillId="0" borderId="5" xfId="0" applyFont="1" applyBorder="1" applyAlignment="1">
      <alignment horizontal="justify" vertical="center"/>
    </xf>
    <xf numFmtId="0" fontId="5" fillId="0" borderId="13" xfId="0" applyFont="1" applyBorder="1" applyAlignment="1">
      <alignment horizontal="center" vertical="center" wrapText="1"/>
    </xf>
    <xf numFmtId="0" fontId="5" fillId="0" borderId="11" xfId="0" applyFont="1" applyBorder="1" applyAlignment="1">
      <alignment horizontal="center" vertical="center" wrapText="1"/>
    </xf>
    <xf numFmtId="1" fontId="28" fillId="0" borderId="19" xfId="0" applyNumberFormat="1" applyFont="1" applyBorder="1" applyAlignment="1">
      <alignment horizontal="center" vertical="center"/>
    </xf>
    <xf numFmtId="0" fontId="2" fillId="0" borderId="0" xfId="0" applyFont="1"/>
    <xf numFmtId="0" fontId="2" fillId="0" borderId="0" xfId="0" applyFont="1" applyAlignment="1">
      <alignment wrapText="1"/>
    </xf>
    <xf numFmtId="0" fontId="37" fillId="0" borderId="5" xfId="30" applyFont="1" applyBorder="1" applyAlignment="1">
      <alignment horizontal="center" vertical="center" wrapText="1"/>
    </xf>
    <xf numFmtId="0" fontId="37" fillId="0" borderId="5" xfId="30" applyFont="1" applyBorder="1" applyAlignment="1">
      <alignment horizontal="justify" vertical="center" wrapText="1"/>
    </xf>
    <xf numFmtId="0" fontId="7" fillId="0" borderId="10" xfId="30" applyFont="1" applyBorder="1" applyAlignment="1">
      <alignment horizontal="center" vertical="center"/>
    </xf>
    <xf numFmtId="0" fontId="7" fillId="0" borderId="10" xfId="30" applyFont="1" applyBorder="1" applyAlignment="1">
      <alignment vertical="center" wrapText="1"/>
    </xf>
    <xf numFmtId="0" fontId="7" fillId="0" borderId="10" xfId="30" applyFont="1" applyBorder="1" applyAlignment="1">
      <alignment horizontal="justify" vertical="center" wrapText="1"/>
    </xf>
    <xf numFmtId="0" fontId="12" fillId="0" borderId="10" xfId="30" applyFont="1" applyBorder="1" applyAlignment="1">
      <alignment horizontal="center" vertical="center"/>
    </xf>
    <xf numFmtId="1" fontId="7" fillId="0" borderId="10" xfId="30" applyNumberFormat="1" applyFont="1" applyBorder="1" applyAlignment="1">
      <alignment horizontal="center" vertical="center"/>
    </xf>
    <xf numFmtId="0" fontId="12" fillId="0" borderId="19" xfId="0" applyFont="1" applyBorder="1" applyAlignment="1">
      <alignment horizontal="center" wrapText="1"/>
    </xf>
    <xf numFmtId="0" fontId="12" fillId="0" borderId="32" xfId="0" applyFont="1" applyBorder="1" applyAlignment="1">
      <alignment horizontal="center" wrapText="1"/>
    </xf>
    <xf numFmtId="165" fontId="0" fillId="0" borderId="5" xfId="7" applyNumberFormat="1" applyFont="1" applyFill="1" applyBorder="1" applyAlignment="1">
      <alignment horizontal="justify" vertical="center" wrapText="1"/>
    </xf>
    <xf numFmtId="0" fontId="12" fillId="0" borderId="25" xfId="0" applyFont="1" applyBorder="1" applyAlignment="1">
      <alignment horizontal="center" wrapText="1"/>
    </xf>
    <xf numFmtId="0" fontId="12" fillId="0" borderId="30" xfId="0" applyFont="1" applyBorder="1" applyAlignment="1">
      <alignment horizontal="center" wrapText="1"/>
    </xf>
    <xf numFmtId="0" fontId="7" fillId="0" borderId="7" xfId="30" applyFont="1" applyBorder="1" applyAlignment="1">
      <alignment horizontal="center" vertical="center"/>
    </xf>
    <xf numFmtId="0" fontId="12" fillId="0" borderId="7" xfId="30" applyFont="1" applyBorder="1" applyAlignment="1">
      <alignment horizontal="center" vertical="center"/>
    </xf>
    <xf numFmtId="0" fontId="12" fillId="0" borderId="5" xfId="0" applyFont="1" applyBorder="1" applyAlignment="1">
      <alignment horizontal="center" wrapText="1"/>
    </xf>
    <xf numFmtId="3" fontId="54" fillId="0" borderId="19" xfId="0" applyNumberFormat="1" applyFont="1" applyBorder="1" applyAlignment="1">
      <alignment horizontal="center" vertical="center"/>
    </xf>
    <xf numFmtId="3" fontId="54" fillId="0" borderId="32" xfId="0" applyNumberFormat="1" applyFont="1" applyBorder="1" applyAlignment="1">
      <alignment horizontal="center" vertical="center"/>
    </xf>
    <xf numFmtId="3" fontId="55" fillId="0" borderId="32" xfId="0" applyNumberFormat="1" applyFont="1" applyBorder="1" applyAlignment="1">
      <alignment horizontal="right" vertical="center"/>
    </xf>
    <xf numFmtId="3" fontId="50" fillId="0" borderId="4" xfId="0" applyNumberFormat="1" applyFont="1" applyBorder="1" applyAlignment="1">
      <alignment vertical="center"/>
    </xf>
    <xf numFmtId="3" fontId="50" fillId="0" borderId="46" xfId="0" applyNumberFormat="1" applyFont="1" applyBorder="1" applyAlignment="1">
      <alignment vertical="center"/>
    </xf>
    <xf numFmtId="164" fontId="0" fillId="0" borderId="5" xfId="7" applyNumberFormat="1" applyFont="1" applyFill="1" applyBorder="1" applyAlignment="1">
      <alignment horizontal="center" vertical="center" wrapText="1"/>
    </xf>
    <xf numFmtId="0" fontId="15" fillId="0" borderId="5" xfId="0" applyFont="1" applyBorder="1" applyAlignment="1">
      <alignment horizontal="left" vertical="center" wrapText="1"/>
    </xf>
    <xf numFmtId="49" fontId="15" fillId="0" borderId="5" xfId="0" applyNumberFormat="1" applyFont="1" applyBorder="1" applyAlignment="1">
      <alignment horizontal="left" vertical="center" wrapText="1"/>
    </xf>
    <xf numFmtId="166" fontId="15" fillId="0" borderId="5" xfId="218" applyFont="1" applyFill="1" applyBorder="1" applyAlignment="1">
      <alignment vertical="center" wrapText="1"/>
    </xf>
    <xf numFmtId="164" fontId="15" fillId="0" borderId="5" xfId="218" applyNumberFormat="1" applyFont="1" applyFill="1" applyBorder="1" applyAlignment="1">
      <alignment vertical="center" wrapText="1"/>
    </xf>
    <xf numFmtId="0" fontId="15" fillId="0" borderId="19" xfId="27" applyFont="1" applyBorder="1" applyAlignment="1">
      <alignment horizontal="left" vertical="center" wrapText="1"/>
    </xf>
    <xf numFmtId="0" fontId="7" fillId="0" borderId="5" xfId="0" applyFont="1" applyBorder="1" applyAlignment="1">
      <alignment horizontal="left" vertical="center" wrapText="1"/>
    </xf>
    <xf numFmtId="0" fontId="0" fillId="0" borderId="5" xfId="0" applyBorder="1"/>
    <xf numFmtId="0" fontId="0" fillId="0" borderId="11" xfId="0" applyBorder="1" applyAlignment="1">
      <alignment vertical="center"/>
    </xf>
    <xf numFmtId="166" fontId="12" fillId="0" borderId="5" xfId="18" applyFont="1" applyFill="1" applyBorder="1" applyAlignment="1">
      <alignment vertical="center" wrapText="1"/>
    </xf>
    <xf numFmtId="0" fontId="0" fillId="0" borderId="5" xfId="27" applyFont="1" applyBorder="1" applyAlignment="1">
      <alignment horizontal="left" vertical="center" wrapText="1"/>
    </xf>
    <xf numFmtId="0" fontId="0" fillId="0" borderId="5" xfId="27" applyFont="1" applyBorder="1" applyAlignment="1">
      <alignment horizontal="left" vertical="center"/>
    </xf>
    <xf numFmtId="0" fontId="0" fillId="0" borderId="5" xfId="0" applyBorder="1" applyAlignment="1">
      <alignment vertical="center"/>
    </xf>
    <xf numFmtId="182" fontId="15" fillId="0" borderId="5" xfId="218" applyNumberFormat="1" applyFont="1" applyFill="1" applyBorder="1" applyAlignment="1">
      <alignment vertical="center" wrapText="1"/>
    </xf>
    <xf numFmtId="0" fontId="0" fillId="0" borderId="11" xfId="0" applyBorder="1"/>
    <xf numFmtId="182" fontId="12" fillId="0" borderId="5" xfId="18" applyNumberFormat="1" applyFont="1" applyFill="1" applyBorder="1" applyAlignment="1">
      <alignment vertical="center" wrapText="1"/>
    </xf>
    <xf numFmtId="183" fontId="15" fillId="0" borderId="5" xfId="218" applyNumberFormat="1" applyFont="1" applyFill="1" applyBorder="1" applyAlignment="1">
      <alignment vertical="center" wrapText="1"/>
    </xf>
    <xf numFmtId="0" fontId="5" fillId="0" borderId="5" xfId="0" applyFont="1" applyBorder="1"/>
    <xf numFmtId="0" fontId="15" fillId="0" borderId="13" xfId="0" applyFont="1" applyBorder="1" applyAlignment="1">
      <alignment horizontal="center" vertical="center"/>
    </xf>
    <xf numFmtId="0" fontId="15" fillId="0" borderId="13" xfId="0" applyFont="1" applyBorder="1" applyAlignment="1">
      <alignment horizontal="left" vertical="center" wrapText="1"/>
    </xf>
    <xf numFmtId="1" fontId="15" fillId="0" borderId="13" xfId="0" applyNumberFormat="1" applyFont="1" applyBorder="1" applyAlignment="1">
      <alignment horizontal="center" vertical="center" wrapText="1"/>
    </xf>
    <xf numFmtId="0" fontId="15" fillId="0" borderId="13" xfId="0" applyFont="1" applyBorder="1" applyAlignment="1">
      <alignment horizontal="justify" vertical="center" wrapText="1"/>
    </xf>
    <xf numFmtId="49" fontId="15" fillId="0" borderId="13" xfId="0" applyNumberFormat="1" applyFont="1" applyBorder="1" applyAlignment="1">
      <alignment horizontal="justify" vertical="center" wrapText="1"/>
    </xf>
    <xf numFmtId="49" fontId="15" fillId="0" borderId="13" xfId="0" applyNumberFormat="1" applyFont="1" applyBorder="1" applyAlignment="1">
      <alignment horizontal="left" vertical="center" wrapText="1"/>
    </xf>
    <xf numFmtId="0" fontId="0" fillId="0" borderId="13" xfId="0" applyBorder="1" applyAlignment="1">
      <alignment horizontal="center" vertical="center"/>
    </xf>
    <xf numFmtId="166" fontId="15" fillId="0" borderId="13" xfId="218" applyFont="1" applyFill="1" applyBorder="1" applyAlignment="1">
      <alignment vertical="center" wrapText="1"/>
    </xf>
    <xf numFmtId="164" fontId="15" fillId="0" borderId="13" xfId="218" applyNumberFormat="1" applyFont="1" applyFill="1" applyBorder="1" applyAlignment="1">
      <alignment vertical="center" wrapText="1"/>
    </xf>
    <xf numFmtId="3" fontId="0" fillId="0" borderId="13" xfId="0" applyNumberFormat="1" applyBorder="1" applyAlignment="1">
      <alignment horizontal="center" vertical="center" wrapText="1"/>
    </xf>
    <xf numFmtId="0" fontId="0" fillId="0" borderId="13" xfId="0" applyBorder="1" applyAlignment="1">
      <alignment vertical="center" wrapText="1"/>
    </xf>
    <xf numFmtId="14" fontId="0" fillId="0" borderId="13" xfId="0" applyNumberFormat="1" applyBorder="1" applyAlignment="1">
      <alignment horizontal="center" vertical="center"/>
    </xf>
    <xf numFmtId="0" fontId="16" fillId="0" borderId="5" xfId="0" applyFont="1" applyBorder="1" applyAlignment="1">
      <alignment horizontal="justify" vertical="center" wrapText="1"/>
    </xf>
    <xf numFmtId="0" fontId="5" fillId="0" borderId="5" xfId="37" applyFont="1" applyBorder="1" applyAlignment="1">
      <alignment horizontal="justify" vertical="center" wrapText="1"/>
    </xf>
    <xf numFmtId="0" fontId="28" fillId="0" borderId="10" xfId="0" applyFont="1" applyBorder="1" applyAlignment="1">
      <alignment horizontal="justify" vertical="center" wrapText="1"/>
    </xf>
    <xf numFmtId="0" fontId="16" fillId="0" borderId="10" xfId="49" applyFont="1" applyBorder="1" applyAlignment="1">
      <alignment horizontal="justify" vertical="center" wrapText="1"/>
    </xf>
    <xf numFmtId="0" fontId="16" fillId="0" borderId="10" xfId="0" applyFont="1" applyBorder="1" applyAlignment="1">
      <alignment horizontal="justify" vertical="center" wrapText="1"/>
    </xf>
    <xf numFmtId="0" fontId="28" fillId="0" borderId="5" xfId="16" applyFont="1" applyBorder="1" applyAlignment="1">
      <alignment horizontal="justify" vertical="center" wrapText="1"/>
    </xf>
    <xf numFmtId="0" fontId="28" fillId="0" borderId="10" xfId="16" applyFont="1" applyBorder="1" applyAlignment="1">
      <alignment horizontal="justify" vertical="center" wrapText="1"/>
    </xf>
    <xf numFmtId="0" fontId="16" fillId="0" borderId="26" xfId="0" applyFont="1" applyBorder="1" applyAlignment="1">
      <alignment horizontal="justify" vertical="center" wrapText="1"/>
    </xf>
    <xf numFmtId="0" fontId="16" fillId="0" borderId="19" xfId="0" applyFont="1" applyBorder="1" applyAlignment="1">
      <alignment horizontal="justify" vertical="center" wrapText="1"/>
    </xf>
    <xf numFmtId="0" fontId="16" fillId="0" borderId="38" xfId="0" applyFont="1" applyBorder="1" applyAlignment="1">
      <alignment horizontal="justify" vertical="center" wrapText="1"/>
    </xf>
    <xf numFmtId="0" fontId="16" fillId="0" borderId="0" xfId="0" applyFont="1" applyAlignment="1">
      <alignment horizontal="justify" vertical="center" wrapText="1"/>
    </xf>
    <xf numFmtId="0" fontId="5" fillId="0" borderId="10" xfId="0" applyFont="1" applyBorder="1" applyAlignment="1">
      <alignment horizontal="justify" vertical="center" wrapText="1"/>
    </xf>
    <xf numFmtId="0" fontId="5" fillId="0" borderId="10" xfId="37" applyFont="1" applyBorder="1" applyAlignment="1">
      <alignment horizontal="justify" vertical="center" wrapText="1"/>
    </xf>
    <xf numFmtId="0" fontId="28" fillId="0" borderId="5" xfId="3" applyNumberFormat="1" applyFont="1" applyFill="1" applyBorder="1" applyAlignment="1">
      <alignment horizontal="justify" vertical="center" wrapText="1"/>
    </xf>
    <xf numFmtId="0" fontId="5" fillId="0" borderId="5" xfId="3" applyNumberFormat="1" applyFont="1" applyFill="1" applyBorder="1" applyAlignment="1">
      <alignment horizontal="justify" vertical="center" wrapText="1"/>
    </xf>
    <xf numFmtId="0" fontId="28" fillId="0" borderId="11" xfId="0" applyFont="1" applyBorder="1" applyAlignment="1">
      <alignment horizontal="justify" vertical="center" wrapText="1"/>
    </xf>
    <xf numFmtId="0" fontId="35" fillId="0" borderId="5" xfId="0" applyFont="1" applyBorder="1" applyAlignment="1">
      <alignment horizontal="center" vertical="center"/>
    </xf>
    <xf numFmtId="3" fontId="35" fillId="0" borderId="5" xfId="0" applyNumberFormat="1" applyFont="1" applyBorder="1" applyAlignment="1">
      <alignment vertical="center"/>
    </xf>
    <xf numFmtId="0" fontId="35" fillId="0" borderId="5" xfId="0" applyFont="1" applyBorder="1" applyAlignment="1">
      <alignment vertical="center"/>
    </xf>
    <xf numFmtId="1" fontId="12" fillId="0" borderId="19" xfId="11" applyNumberFormat="1" applyFont="1" applyBorder="1" applyAlignment="1">
      <alignment horizontal="center" vertical="center" wrapText="1"/>
    </xf>
    <xf numFmtId="0" fontId="38" fillId="0" borderId="5" xfId="0" applyFont="1" applyBorder="1" applyAlignment="1">
      <alignment horizontal="center" vertical="center" wrapText="1"/>
    </xf>
    <xf numFmtId="1" fontId="38" fillId="0" borderId="5" xfId="0" applyNumberFormat="1" applyFont="1" applyBorder="1" applyAlignment="1">
      <alignment horizontal="center" vertical="center" wrapText="1"/>
    </xf>
    <xf numFmtId="167" fontId="3" fillId="45" borderId="5" xfId="0" applyNumberFormat="1" applyFont="1" applyFill="1" applyBorder="1" applyAlignment="1">
      <alignment horizontal="justify" vertical="center"/>
    </xf>
    <xf numFmtId="167" fontId="3" fillId="45" borderId="5" xfId="18" applyNumberFormat="1" applyFont="1" applyFill="1" applyBorder="1" applyAlignment="1">
      <alignment horizontal="justify" vertical="center" wrapText="1"/>
    </xf>
    <xf numFmtId="191" fontId="3" fillId="45" borderId="5" xfId="18" applyNumberFormat="1" applyFont="1" applyFill="1" applyBorder="1" applyAlignment="1">
      <alignment horizontal="justify" vertical="center" wrapText="1"/>
    </xf>
    <xf numFmtId="0" fontId="16" fillId="45" borderId="5" xfId="244" applyFont="1" applyFill="1" applyBorder="1" applyAlignment="1">
      <alignment horizontal="center" vertical="center" wrapText="1"/>
    </xf>
    <xf numFmtId="0" fontId="16" fillId="45" borderId="5" xfId="244" quotePrefix="1" applyFont="1" applyFill="1" applyBorder="1" applyAlignment="1">
      <alignment horizontal="center" vertical="center" wrapText="1"/>
    </xf>
    <xf numFmtId="1" fontId="0" fillId="54" borderId="5" xfId="0" applyNumberFormat="1" applyFill="1" applyBorder="1" applyAlignment="1">
      <alignment horizontal="center" vertical="center" wrapText="1"/>
    </xf>
    <xf numFmtId="184" fontId="11" fillId="54" borderId="5" xfId="218" applyNumberFormat="1" applyFont="1" applyFill="1" applyBorder="1" applyAlignment="1">
      <alignment horizontal="right" vertical="center" wrapText="1"/>
    </xf>
    <xf numFmtId="184" fontId="0" fillId="0" borderId="5" xfId="10" applyNumberFormat="1" applyFont="1" applyFill="1" applyBorder="1" applyAlignment="1">
      <alignment horizontal="center" vertical="center" wrapText="1"/>
    </xf>
    <xf numFmtId="0" fontId="44" fillId="55" borderId="5" xfId="0" applyFont="1" applyFill="1" applyBorder="1" applyAlignment="1">
      <alignment horizontal="center" vertical="center" wrapText="1"/>
    </xf>
    <xf numFmtId="194" fontId="27" fillId="7" borderId="27" xfId="0" applyNumberFormat="1" applyFont="1" applyFill="1" applyBorder="1" applyAlignment="1">
      <alignment vertical="center"/>
    </xf>
    <xf numFmtId="184" fontId="5" fillId="0" borderId="0" xfId="0" applyNumberFormat="1" applyFont="1"/>
    <xf numFmtId="184" fontId="0" fillId="0" borderId="0" xfId="0" applyNumberFormat="1"/>
    <xf numFmtId="1" fontId="12" fillId="0" borderId="5" xfId="0" applyNumberFormat="1" applyFont="1" applyFill="1" applyBorder="1" applyAlignment="1">
      <alignment horizontal="center" vertical="center"/>
    </xf>
    <xf numFmtId="0" fontId="12" fillId="0" borderId="5" xfId="0" applyFont="1" applyFill="1" applyBorder="1" applyAlignment="1">
      <alignment horizontal="justify" vertical="center" wrapText="1"/>
    </xf>
    <xf numFmtId="0" fontId="12" fillId="0" borderId="5" xfId="0" applyFont="1" applyFill="1" applyBorder="1" applyAlignment="1">
      <alignment horizontal="justify" vertical="center"/>
    </xf>
    <xf numFmtId="0" fontId="12" fillId="0" borderId="5" xfId="0" applyFont="1" applyFill="1" applyBorder="1" applyAlignment="1">
      <alignment horizontal="center" vertical="center"/>
    </xf>
    <xf numFmtId="1" fontId="12" fillId="0" borderId="5" xfId="2" applyNumberFormat="1" applyFont="1" applyFill="1" applyBorder="1" applyAlignment="1">
      <alignment horizontal="center" vertical="center" wrapText="1"/>
    </xf>
    <xf numFmtId="1" fontId="12" fillId="0" borderId="5" xfId="0" applyNumberFormat="1" applyFont="1" applyFill="1" applyBorder="1" applyAlignment="1">
      <alignment horizontal="center" vertical="center" wrapText="1"/>
    </xf>
    <xf numFmtId="0" fontId="44" fillId="0" borderId="5" xfId="0" applyFont="1" applyFill="1" applyBorder="1" applyAlignment="1">
      <alignment horizontal="left" vertical="center" wrapText="1"/>
    </xf>
    <xf numFmtId="168" fontId="4" fillId="0" borderId="5" xfId="1" applyNumberFormat="1" applyFont="1" applyFill="1" applyBorder="1" applyAlignment="1">
      <alignment vertical="center" wrapText="1"/>
    </xf>
    <xf numFmtId="168" fontId="4" fillId="0" borderId="5" xfId="1" applyNumberFormat="1" applyFont="1" applyFill="1" applyBorder="1" applyAlignment="1">
      <alignment horizontal="center" vertical="center" wrapText="1"/>
    </xf>
    <xf numFmtId="0" fontId="44" fillId="0" borderId="5" xfId="0"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textRotation="90" wrapText="1"/>
    </xf>
    <xf numFmtId="14" fontId="7" fillId="0" borderId="13" xfId="1" applyNumberFormat="1" applyFont="1" applyFill="1" applyBorder="1" applyAlignment="1">
      <alignment horizontal="center" vertical="center" wrapText="1"/>
    </xf>
    <xf numFmtId="0" fontId="7" fillId="0" borderId="13" xfId="1" applyFont="1" applyFill="1" applyBorder="1" applyAlignment="1">
      <alignment horizontal="center" vertical="center" wrapText="1"/>
    </xf>
    <xf numFmtId="49" fontId="7" fillId="0" borderId="5" xfId="1" applyNumberFormat="1" applyFont="1" applyFill="1" applyBorder="1" applyAlignment="1">
      <alignment horizontal="center" vertical="center" textRotation="90" wrapText="1"/>
    </xf>
    <xf numFmtId="0" fontId="0" fillId="0" borderId="5" xfId="0" applyFill="1" applyBorder="1" applyAlignment="1">
      <alignment horizontal="center" vertical="center" wrapText="1"/>
    </xf>
    <xf numFmtId="2" fontId="12" fillId="0" borderId="5" xfId="2" applyNumberFormat="1" applyFont="1" applyFill="1" applyBorder="1" applyAlignment="1">
      <alignment horizontal="center" vertical="center" wrapText="1"/>
    </xf>
    <xf numFmtId="0" fontId="12" fillId="0" borderId="5" xfId="0" applyFont="1" applyFill="1" applyBorder="1" applyAlignment="1">
      <alignment horizontal="center" vertical="center" wrapText="1"/>
    </xf>
    <xf numFmtId="0" fontId="0" fillId="0" borderId="5" xfId="0" applyFill="1" applyBorder="1" applyAlignment="1">
      <alignment horizontal="center" vertical="center"/>
    </xf>
    <xf numFmtId="0" fontId="7" fillId="0" borderId="5" xfId="0" applyFont="1" applyFill="1" applyBorder="1" applyAlignment="1">
      <alignment vertical="center" wrapText="1"/>
    </xf>
    <xf numFmtId="4" fontId="35" fillId="0" borderId="0" xfId="0" applyNumberFormat="1" applyFont="1" applyAlignment="1">
      <alignment vertical="center"/>
    </xf>
    <xf numFmtId="0" fontId="7" fillId="0" borderId="5" xfId="1" applyFont="1" applyBorder="1"/>
    <xf numFmtId="0" fontId="12" fillId="56" borderId="5" xfId="0" applyFont="1" applyFill="1" applyBorder="1" applyAlignment="1">
      <alignment horizontal="justify" vertical="center" wrapText="1"/>
    </xf>
    <xf numFmtId="2" fontId="12" fillId="0" borderId="5" xfId="3" applyNumberFormat="1" applyFont="1" applyFill="1" applyBorder="1" applyAlignment="1">
      <alignment horizontal="center" vertical="center" wrapText="1"/>
    </xf>
    <xf numFmtId="4" fontId="7" fillId="0" borderId="5" xfId="0" applyNumberFormat="1" applyFont="1" applyBorder="1" applyAlignment="1">
      <alignment horizontal="center" vertical="center"/>
    </xf>
    <xf numFmtId="4" fontId="3" fillId="0" borderId="5" xfId="23" applyNumberFormat="1" applyFont="1" applyFill="1" applyBorder="1" applyAlignment="1">
      <alignment horizontal="right" vertical="center" wrapText="1"/>
    </xf>
    <xf numFmtId="4" fontId="0" fillId="0" borderId="5" xfId="0" applyNumberFormat="1" applyBorder="1" applyAlignment="1">
      <alignment horizontal="center" vertical="center"/>
    </xf>
    <xf numFmtId="4" fontId="35" fillId="0" borderId="5" xfId="0" applyNumberFormat="1" applyFont="1" applyBorder="1" applyAlignment="1">
      <alignment horizontal="right" vertical="center"/>
    </xf>
    <xf numFmtId="1" fontId="3" fillId="57" borderId="28" xfId="0" applyNumberFormat="1" applyFont="1" applyFill="1" applyBorder="1" applyAlignment="1" applyProtection="1">
      <alignment horizontal="left" vertical="center" wrapText="1"/>
      <protection locked="0"/>
    </xf>
    <xf numFmtId="168" fontId="7" fillId="43" borderId="5" xfId="1" applyNumberFormat="1" applyFont="1" applyFill="1" applyBorder="1" applyAlignment="1">
      <alignment horizontal="center" vertical="center" wrapText="1"/>
    </xf>
    <xf numFmtId="168" fontId="56" fillId="43" borderId="5" xfId="1" applyNumberFormat="1" applyFont="1" applyFill="1" applyBorder="1" applyAlignment="1">
      <alignment horizontal="center" vertical="center" wrapText="1"/>
    </xf>
    <xf numFmtId="181" fontId="0" fillId="57" borderId="5" xfId="7" applyNumberFormat="1" applyFont="1" applyFill="1" applyBorder="1" applyAlignment="1">
      <alignment horizontal="center" vertical="center" wrapText="1"/>
    </xf>
    <xf numFmtId="166" fontId="30" fillId="58" borderId="5" xfId="18" applyFont="1" applyFill="1" applyBorder="1" applyAlignment="1">
      <alignment vertical="center" wrapText="1"/>
    </xf>
    <xf numFmtId="168" fontId="7" fillId="30" borderId="5" xfId="1" applyNumberFormat="1" applyFont="1" applyFill="1" applyBorder="1" applyAlignment="1">
      <alignment horizontal="center" vertical="center" wrapText="1"/>
    </xf>
    <xf numFmtId="181" fontId="0" fillId="58" borderId="5" xfId="7" applyNumberFormat="1" applyFont="1" applyFill="1" applyBorder="1" applyAlignment="1">
      <alignment horizontal="justify" vertical="center" wrapText="1"/>
    </xf>
    <xf numFmtId="1" fontId="3" fillId="58" borderId="5" xfId="0" applyNumberFormat="1" applyFont="1" applyFill="1" applyBorder="1" applyAlignment="1" applyProtection="1">
      <alignment horizontal="left" vertical="center" wrapText="1"/>
      <protection locked="0"/>
    </xf>
    <xf numFmtId="168" fontId="7" fillId="0" borderId="5" xfId="1" applyNumberFormat="1" applyFont="1" applyBorder="1" applyAlignment="1">
      <alignment vertical="center" wrapText="1"/>
    </xf>
    <xf numFmtId="168" fontId="7" fillId="0" borderId="13" xfId="1" applyNumberFormat="1" applyFont="1" applyBorder="1" applyAlignment="1">
      <alignment vertical="center" wrapText="1"/>
    </xf>
    <xf numFmtId="164" fontId="15" fillId="0" borderId="5" xfId="367" applyNumberFormat="1" applyFont="1" applyBorder="1" applyAlignment="1">
      <alignment vertical="center" wrapText="1"/>
    </xf>
    <xf numFmtId="181" fontId="35" fillId="0" borderId="5" xfId="7" applyNumberFormat="1" applyFont="1" applyFill="1" applyBorder="1" applyAlignment="1">
      <alignment horizontal="justify" vertical="center" wrapText="1"/>
    </xf>
    <xf numFmtId="0" fontId="5" fillId="0" borderId="0" xfId="0" applyFont="1" applyAlignment="1">
      <alignment wrapText="1"/>
    </xf>
    <xf numFmtId="184" fontId="0" fillId="58" borderId="5" xfId="10" applyNumberFormat="1" applyFont="1" applyFill="1" applyBorder="1" applyAlignment="1">
      <alignment horizontal="center" vertical="center" wrapText="1"/>
    </xf>
    <xf numFmtId="184" fontId="3" fillId="0" borderId="5" xfId="0" applyNumberFormat="1" applyFont="1" applyFill="1" applyBorder="1" applyAlignment="1" applyProtection="1">
      <alignment horizontal="right" vertical="center"/>
      <protection locked="0"/>
    </xf>
    <xf numFmtId="184" fontId="12" fillId="0" borderId="5" xfId="0" applyNumberFormat="1" applyFont="1" applyFill="1" applyBorder="1" applyAlignment="1" applyProtection="1">
      <alignment horizontal="right" vertical="center"/>
      <protection locked="0"/>
    </xf>
    <xf numFmtId="167" fontId="15" fillId="0" borderId="5" xfId="367" applyFont="1" applyBorder="1" applyAlignment="1">
      <alignment vertical="center" wrapText="1"/>
    </xf>
    <xf numFmtId="181" fontId="0" fillId="30" borderId="5" xfId="7" applyNumberFormat="1" applyFont="1" applyFill="1" applyBorder="1" applyAlignment="1">
      <alignment horizontal="justify" vertical="center" wrapText="1"/>
    </xf>
    <xf numFmtId="4" fontId="3" fillId="30" borderId="8" xfId="0" applyNumberFormat="1" applyFont="1" applyFill="1" applyBorder="1" applyAlignment="1">
      <alignment vertical="center"/>
    </xf>
    <xf numFmtId="168" fontId="7" fillId="0" borderId="5" xfId="1" applyNumberFormat="1" applyFont="1" applyFill="1" applyBorder="1" applyAlignment="1">
      <alignment vertical="center" wrapText="1"/>
    </xf>
    <xf numFmtId="1" fontId="15" fillId="0" borderId="8" xfId="0" applyNumberFormat="1" applyFont="1" applyBorder="1" applyAlignment="1">
      <alignment horizontal="center" vertical="center" wrapText="1"/>
    </xf>
    <xf numFmtId="3" fontId="50" fillId="0" borderId="10" xfId="0" applyNumberFormat="1" applyFont="1" applyBorder="1" applyAlignment="1">
      <alignment horizontal="center" vertical="center"/>
    </xf>
    <xf numFmtId="0" fontId="0" fillId="0" borderId="13" xfId="0" applyBorder="1" applyAlignment="1">
      <alignment horizontal="center" vertical="center" wrapText="1"/>
    </xf>
    <xf numFmtId="0" fontId="2" fillId="0" borderId="5" xfId="0" applyFont="1" applyBorder="1" applyAlignment="1" applyProtection="1">
      <alignment horizontal="center" vertical="center"/>
      <protection locked="0"/>
    </xf>
    <xf numFmtId="0" fontId="4" fillId="3" borderId="3" xfId="1" applyFont="1" applyFill="1" applyBorder="1" applyAlignment="1">
      <alignment horizontal="center" vertical="center"/>
    </xf>
    <xf numFmtId="0" fontId="4" fillId="3" borderId="1" xfId="1" applyFont="1" applyFill="1" applyBorder="1" applyAlignment="1">
      <alignment horizontal="center" vertical="center"/>
    </xf>
    <xf numFmtId="3" fontId="4" fillId="3" borderId="5" xfId="1" applyNumberFormat="1" applyFont="1" applyFill="1" applyBorder="1" applyAlignment="1">
      <alignment horizontal="center" vertical="center" wrapText="1"/>
    </xf>
    <xf numFmtId="0" fontId="4" fillId="3" borderId="5" xfId="1" applyFont="1" applyFill="1" applyBorder="1" applyAlignment="1">
      <alignment horizontal="center" vertical="center" wrapText="1"/>
    </xf>
    <xf numFmtId="0" fontId="4" fillId="3" borderId="5" xfId="1" applyFont="1" applyFill="1" applyBorder="1" applyAlignment="1">
      <alignment horizontal="center" vertical="center"/>
    </xf>
    <xf numFmtId="0" fontId="4" fillId="3" borderId="5" xfId="1" applyFont="1" applyFill="1" applyBorder="1" applyAlignment="1">
      <alignment horizontal="center" vertical="center" textRotation="90" wrapText="1"/>
    </xf>
    <xf numFmtId="0" fontId="6" fillId="0" borderId="0" xfId="0" applyFont="1" applyAlignment="1">
      <alignment horizontal="center" vertical="center"/>
    </xf>
    <xf numFmtId="0" fontId="10"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6" fillId="0" borderId="8" xfId="0" applyFont="1" applyBorder="1" applyAlignment="1">
      <alignment horizontal="center" wrapText="1"/>
    </xf>
    <xf numFmtId="0" fontId="6" fillId="0" borderId="10" xfId="0" applyFont="1" applyBorder="1" applyAlignment="1">
      <alignment horizontal="center" wrapText="1"/>
    </xf>
    <xf numFmtId="0" fontId="1" fillId="0" borderId="0" xfId="0" applyFont="1" applyAlignment="1">
      <alignment horizontal="center" vertical="center"/>
    </xf>
    <xf numFmtId="0" fontId="1" fillId="0" borderId="5" xfId="0" applyFont="1" applyBorder="1" applyAlignment="1" applyProtection="1">
      <alignment horizontal="center" vertical="center"/>
      <protection locked="0"/>
    </xf>
    <xf numFmtId="0" fontId="45" fillId="3" borderId="3" xfId="1" applyFont="1" applyFill="1" applyBorder="1" applyAlignment="1">
      <alignment horizontal="center" vertical="center"/>
    </xf>
    <xf numFmtId="0" fontId="45" fillId="3" borderId="1" xfId="1" applyFont="1" applyFill="1" applyBorder="1" applyAlignment="1">
      <alignment horizontal="center" vertical="center"/>
    </xf>
    <xf numFmtId="1" fontId="4" fillId="3" borderId="5" xfId="1" applyNumberFormat="1" applyFont="1" applyFill="1" applyBorder="1" applyAlignment="1">
      <alignment horizontal="center" vertical="center" wrapText="1"/>
    </xf>
    <xf numFmtId="0" fontId="6" fillId="4" borderId="5" xfId="0" applyFont="1" applyFill="1" applyBorder="1" applyAlignment="1">
      <alignment horizontal="center" vertical="center" wrapText="1"/>
    </xf>
    <xf numFmtId="0" fontId="10"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Alignment="1">
      <alignment horizontal="center" vertical="center"/>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4" fillId="3" borderId="11" xfId="1" applyFont="1" applyFill="1" applyBorder="1" applyAlignment="1">
      <alignment horizontal="center" vertical="center" wrapText="1"/>
    </xf>
    <xf numFmtId="0" fontId="4" fillId="3" borderId="12" xfId="1" applyFont="1" applyFill="1" applyBorder="1" applyAlignment="1">
      <alignment horizontal="center" vertical="center" wrapText="1"/>
    </xf>
    <xf numFmtId="0" fontId="4" fillId="3" borderId="13" xfId="1" applyFont="1" applyFill="1" applyBorder="1" applyAlignment="1">
      <alignment horizontal="center" vertical="center" wrapText="1"/>
    </xf>
    <xf numFmtId="3" fontId="4" fillId="3" borderId="8" xfId="1" applyNumberFormat="1" applyFont="1" applyFill="1" applyBorder="1" applyAlignment="1">
      <alignment horizontal="center" vertical="center" wrapText="1"/>
    </xf>
    <xf numFmtId="3" fontId="4" fillId="3" borderId="9" xfId="1" applyNumberFormat="1" applyFont="1" applyFill="1" applyBorder="1" applyAlignment="1">
      <alignment horizontal="center" vertical="center" wrapText="1"/>
    </xf>
    <xf numFmtId="3" fontId="4" fillId="3" borderId="10" xfId="1" applyNumberFormat="1" applyFont="1" applyFill="1" applyBorder="1" applyAlignment="1">
      <alignment horizontal="center" vertical="center" wrapText="1"/>
    </xf>
    <xf numFmtId="3" fontId="4" fillId="3" borderId="5" xfId="1" applyNumberFormat="1" applyFont="1" applyFill="1" applyBorder="1" applyAlignment="1">
      <alignment horizontal="center" vertical="center" wrapText="1"/>
    </xf>
    <xf numFmtId="0" fontId="7" fillId="0" borderId="5" xfId="1" applyFont="1" applyBorder="1" applyAlignment="1"/>
    <xf numFmtId="0" fontId="4" fillId="3" borderId="5" xfId="1" applyFont="1" applyFill="1" applyBorder="1" applyAlignment="1">
      <alignment horizontal="center" vertical="center" wrapText="1"/>
    </xf>
    <xf numFmtId="0" fontId="4" fillId="3" borderId="5" xfId="1" applyFont="1" applyFill="1" applyBorder="1" applyAlignment="1">
      <alignment horizontal="center" vertical="center"/>
    </xf>
    <xf numFmtId="0" fontId="4" fillId="3" borderId="5" xfId="1" applyFont="1" applyFill="1" applyBorder="1" applyAlignment="1">
      <alignment horizontal="center" vertical="center" textRotation="90" wrapText="1"/>
    </xf>
    <xf numFmtId="0" fontId="2" fillId="5" borderId="8" xfId="0" applyFont="1" applyFill="1" applyBorder="1" applyAlignment="1" applyProtection="1">
      <alignment horizontal="center" vertical="center"/>
      <protection locked="0"/>
    </xf>
    <xf numFmtId="0" fontId="2" fillId="5" borderId="9" xfId="0" applyFont="1" applyFill="1" applyBorder="1" applyAlignment="1" applyProtection="1">
      <alignment horizontal="center" vertical="center"/>
      <protection locked="0"/>
    </xf>
    <xf numFmtId="0" fontId="2" fillId="5" borderId="10" xfId="0" applyFont="1" applyFill="1" applyBorder="1" applyAlignment="1" applyProtection="1">
      <alignment horizontal="center" vertical="center"/>
      <protection locked="0"/>
    </xf>
    <xf numFmtId="0" fontId="1" fillId="0" borderId="0" xfId="0" applyFont="1" applyAlignment="1">
      <alignment horizontal="center"/>
    </xf>
    <xf numFmtId="0" fontId="1" fillId="0" borderId="5" xfId="0" applyFont="1" applyBorder="1" applyAlignment="1">
      <alignment horizontal="center"/>
    </xf>
    <xf numFmtId="0" fontId="2" fillId="0" borderId="5"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1" fontId="4" fillId="3" borderId="2" xfId="1" applyNumberFormat="1" applyFont="1" applyFill="1" applyBorder="1" applyAlignment="1">
      <alignment horizontal="center" vertical="center" wrapText="1"/>
    </xf>
    <xf numFmtId="1" fontId="4" fillId="3" borderId="3" xfId="1" applyNumberFormat="1" applyFont="1" applyFill="1" applyBorder="1" applyAlignment="1">
      <alignment horizontal="center" vertical="center" wrapText="1"/>
    </xf>
    <xf numFmtId="1" fontId="4" fillId="3" borderId="6" xfId="1" applyNumberFormat="1" applyFont="1" applyFill="1" applyBorder="1" applyAlignment="1">
      <alignment horizontal="center" vertical="center" wrapText="1"/>
    </xf>
    <xf numFmtId="1" fontId="4" fillId="3" borderId="1" xfId="1" applyNumberFormat="1" applyFont="1" applyFill="1" applyBorder="1" applyAlignment="1">
      <alignment horizontal="center" vertical="center" wrapText="1"/>
    </xf>
    <xf numFmtId="1" fontId="4" fillId="3" borderId="4" xfId="1" applyNumberFormat="1" applyFont="1" applyFill="1" applyBorder="1" applyAlignment="1">
      <alignment horizontal="center" vertical="center" wrapText="1"/>
    </xf>
    <xf numFmtId="1" fontId="4" fillId="3" borderId="7" xfId="1" applyNumberFormat="1"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4" fillId="3" borderId="3" xfId="1" applyFont="1" applyFill="1" applyBorder="1" applyAlignment="1">
      <alignment horizontal="center" vertical="center"/>
    </xf>
    <xf numFmtId="0" fontId="4" fillId="3" borderId="1" xfId="1" applyFont="1" applyFill="1" applyBorder="1" applyAlignment="1">
      <alignment horizontal="center" vertical="center"/>
    </xf>
    <xf numFmtId="0" fontId="6" fillId="0" borderId="8" xfId="0" applyFont="1" applyBorder="1" applyAlignment="1">
      <alignment horizontal="center" wrapText="1"/>
    </xf>
    <xf numFmtId="0" fontId="6" fillId="0" borderId="10" xfId="0" applyFont="1" applyBorder="1" applyAlignment="1">
      <alignment horizontal="center" wrapText="1"/>
    </xf>
    <xf numFmtId="184" fontId="1" fillId="0" borderId="5" xfId="0" applyNumberFormat="1" applyFont="1" applyBorder="1" applyAlignment="1">
      <alignment horizontal="center"/>
    </xf>
    <xf numFmtId="184" fontId="2" fillId="0" borderId="5" xfId="0" applyNumberFormat="1" applyFont="1" applyBorder="1" applyAlignment="1" applyProtection="1">
      <alignment horizontal="center" vertical="center" wrapText="1"/>
      <protection locked="0"/>
    </xf>
    <xf numFmtId="184" fontId="2" fillId="0" borderId="5" xfId="0" applyNumberFormat="1" applyFont="1" applyBorder="1" applyAlignment="1" applyProtection="1">
      <alignment horizontal="center" vertical="center"/>
      <protection locked="0"/>
    </xf>
    <xf numFmtId="184" fontId="4" fillId="3" borderId="3" xfId="1" applyNumberFormat="1" applyFont="1" applyFill="1" applyBorder="1" applyAlignment="1">
      <alignment horizontal="center" vertical="center"/>
    </xf>
    <xf numFmtId="184" fontId="4" fillId="3" borderId="1" xfId="1" applyNumberFormat="1" applyFont="1" applyFill="1" applyBorder="1" applyAlignment="1">
      <alignment horizontal="center" vertical="center"/>
    </xf>
    <xf numFmtId="0" fontId="1" fillId="0" borderId="1" xfId="0" applyFont="1" applyBorder="1" applyAlignment="1">
      <alignment horizontal="center"/>
    </xf>
    <xf numFmtId="0" fontId="2" fillId="0" borderId="0" xfId="0" applyFont="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4" fillId="3" borderId="19" xfId="1" applyFont="1" applyFill="1" applyBorder="1" applyAlignment="1">
      <alignment horizontal="center" vertical="center"/>
    </xf>
    <xf numFmtId="3" fontId="4" fillId="3" borderId="3" xfId="1" applyNumberFormat="1" applyFont="1" applyFill="1" applyBorder="1" applyAlignment="1">
      <alignment horizontal="center" vertical="center" wrapText="1"/>
    </xf>
    <xf numFmtId="3" fontId="4" fillId="3" borderId="4" xfId="1" applyNumberFormat="1" applyFont="1" applyFill="1" applyBorder="1" applyAlignment="1">
      <alignment horizontal="center" vertical="center" wrapText="1"/>
    </xf>
    <xf numFmtId="3" fontId="4" fillId="3" borderId="1" xfId="1" applyNumberFormat="1" applyFont="1" applyFill="1" applyBorder="1" applyAlignment="1">
      <alignment horizontal="center" vertical="center" wrapText="1"/>
    </xf>
    <xf numFmtId="3" fontId="4" fillId="3" borderId="7" xfId="1" applyNumberFormat="1" applyFont="1" applyFill="1" applyBorder="1" applyAlignment="1">
      <alignment horizontal="center" vertical="center" wrapText="1"/>
    </xf>
    <xf numFmtId="0" fontId="1" fillId="0" borderId="0" xfId="371" applyFont="1" applyAlignment="1">
      <alignment horizontal="center"/>
    </xf>
    <xf numFmtId="0" fontId="1" fillId="0" borderId="1" xfId="371" applyFont="1" applyBorder="1" applyAlignment="1">
      <alignment horizontal="center"/>
    </xf>
    <xf numFmtId="0" fontId="2" fillId="0" borderId="0" xfId="371" applyFont="1" applyAlignment="1" applyProtection="1">
      <alignment horizontal="center" vertical="center" wrapText="1"/>
      <protection locked="0"/>
    </xf>
    <xf numFmtId="0" fontId="2" fillId="0" borderId="22" xfId="371" applyFont="1" applyBorder="1" applyAlignment="1" applyProtection="1">
      <alignment horizontal="center" vertical="center" wrapText="1"/>
      <protection locked="0"/>
    </xf>
    <xf numFmtId="0" fontId="2" fillId="0" borderId="0" xfId="371" applyFont="1" applyAlignment="1" applyProtection="1">
      <alignment horizontal="center" vertical="center"/>
      <protection locked="0"/>
    </xf>
    <xf numFmtId="0" fontId="6" fillId="4" borderId="3" xfId="371" applyFont="1" applyFill="1" applyBorder="1" applyAlignment="1">
      <alignment horizontal="center" vertical="center" wrapText="1"/>
    </xf>
    <xf numFmtId="0" fontId="6" fillId="4" borderId="1" xfId="371" applyFont="1" applyFill="1" applyBorder="1" applyAlignment="1">
      <alignment horizontal="center" vertical="center" wrapText="1"/>
    </xf>
    <xf numFmtId="0" fontId="6" fillId="4" borderId="19" xfId="371" applyFont="1" applyFill="1" applyBorder="1" applyAlignment="1">
      <alignment horizontal="center" vertical="center" wrapText="1"/>
    </xf>
    <xf numFmtId="0" fontId="1" fillId="0" borderId="5" xfId="371" applyFont="1" applyBorder="1" applyAlignment="1">
      <alignment horizontal="center" vertical="center" wrapText="1"/>
    </xf>
    <xf numFmtId="0" fontId="6" fillId="0" borderId="8" xfId="371" applyFont="1" applyBorder="1" applyAlignment="1">
      <alignment horizontal="center" vertical="center" wrapText="1"/>
    </xf>
    <xf numFmtId="0" fontId="6" fillId="0" borderId="10" xfId="371" applyFont="1" applyBorder="1" applyAlignment="1">
      <alignment horizontal="center" vertical="center" wrapText="1"/>
    </xf>
    <xf numFmtId="0" fontId="1" fillId="0" borderId="8" xfId="371" applyFont="1" applyBorder="1" applyAlignment="1">
      <alignment horizontal="center" vertical="center" wrapText="1"/>
    </xf>
    <xf numFmtId="0" fontId="1" fillId="0" borderId="9" xfId="371" applyFont="1" applyBorder="1" applyAlignment="1">
      <alignment horizontal="center" vertical="center" wrapText="1"/>
    </xf>
    <xf numFmtId="0" fontId="1" fillId="0" borderId="10" xfId="371" applyFont="1" applyBorder="1" applyAlignment="1">
      <alignment horizontal="center" vertical="center" wrapText="1"/>
    </xf>
    <xf numFmtId="0" fontId="6" fillId="0" borderId="8" xfId="371" applyFont="1" applyBorder="1" applyAlignment="1">
      <alignment vertical="center"/>
    </xf>
    <xf numFmtId="0" fontId="6" fillId="0" borderId="10" xfId="371" applyFont="1" applyBorder="1" applyAlignment="1">
      <alignment vertical="center"/>
    </xf>
    <xf numFmtId="0" fontId="2" fillId="5" borderId="8" xfId="371" applyFont="1" applyFill="1" applyBorder="1" applyAlignment="1" applyProtection="1">
      <alignment horizontal="center" vertical="center"/>
      <protection locked="0"/>
    </xf>
    <xf numFmtId="0" fontId="2" fillId="5" borderId="9" xfId="371" applyFont="1" applyFill="1" applyBorder="1" applyAlignment="1" applyProtection="1">
      <alignment horizontal="center" vertical="center"/>
      <protection locked="0"/>
    </xf>
    <xf numFmtId="0" fontId="2" fillId="5" borderId="10" xfId="371" applyFont="1" applyFill="1" applyBorder="1" applyAlignment="1" applyProtection="1">
      <alignment horizontal="center" vertical="center"/>
      <protection locked="0"/>
    </xf>
    <xf numFmtId="0" fontId="27" fillId="0" borderId="0" xfId="371" applyFont="1" applyAlignment="1">
      <alignment horizontal="center"/>
    </xf>
    <xf numFmtId="0" fontId="6" fillId="4" borderId="4"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27" fillId="0" borderId="0" xfId="0" applyFont="1" applyAlignment="1">
      <alignment horizontal="center" wrapText="1"/>
    </xf>
    <xf numFmtId="0" fontId="1" fillId="0" borderId="5"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1" fontId="45" fillId="3" borderId="2" xfId="1" applyNumberFormat="1" applyFont="1" applyFill="1" applyBorder="1" applyAlignment="1">
      <alignment horizontal="center" vertical="center" wrapText="1"/>
    </xf>
    <xf numFmtId="1" fontId="45" fillId="3" borderId="3" xfId="1" applyNumberFormat="1" applyFont="1" applyFill="1" applyBorder="1" applyAlignment="1">
      <alignment horizontal="center" vertical="center" wrapText="1"/>
    </xf>
    <xf numFmtId="1" fontId="45" fillId="3" borderId="6" xfId="1" applyNumberFormat="1" applyFont="1" applyFill="1" applyBorder="1" applyAlignment="1">
      <alignment horizontal="center" vertical="center" wrapText="1"/>
    </xf>
    <xf numFmtId="1" fontId="45" fillId="3" borderId="1" xfId="1" applyNumberFormat="1" applyFont="1" applyFill="1" applyBorder="1" applyAlignment="1">
      <alignment horizontal="center" vertical="center" wrapText="1"/>
    </xf>
    <xf numFmtId="1" fontId="45" fillId="3" borderId="4" xfId="1" applyNumberFormat="1" applyFont="1" applyFill="1" applyBorder="1" applyAlignment="1">
      <alignment horizontal="center" vertical="center" wrapText="1"/>
    </xf>
    <xf numFmtId="1" fontId="45" fillId="3" borderId="7" xfId="1" applyNumberFormat="1"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45" fillId="3" borderId="11" xfId="1" applyFont="1" applyFill="1" applyBorder="1" applyAlignment="1">
      <alignment horizontal="center" vertical="center" wrapText="1"/>
    </xf>
    <xf numFmtId="0" fontId="45" fillId="3" borderId="12" xfId="1" applyFont="1" applyFill="1" applyBorder="1" applyAlignment="1">
      <alignment horizontal="center" vertical="center" wrapText="1"/>
    </xf>
    <xf numFmtId="0" fontId="45" fillId="3" borderId="13" xfId="1" applyFont="1" applyFill="1" applyBorder="1" applyAlignment="1">
      <alignment horizontal="center" vertical="center" wrapText="1"/>
    </xf>
    <xf numFmtId="0" fontId="45" fillId="3" borderId="3" xfId="1" applyFont="1" applyFill="1" applyBorder="1" applyAlignment="1">
      <alignment horizontal="center" vertical="center"/>
    </xf>
    <xf numFmtId="0" fontId="45" fillId="3" borderId="1" xfId="1" applyFont="1" applyFill="1" applyBorder="1" applyAlignment="1">
      <alignment horizontal="center" vertical="center"/>
    </xf>
    <xf numFmtId="3" fontId="45" fillId="3" borderId="8" xfId="1" applyNumberFormat="1" applyFont="1" applyFill="1" applyBorder="1" applyAlignment="1">
      <alignment horizontal="center" vertical="center" wrapText="1"/>
    </xf>
    <xf numFmtId="3" fontId="45" fillId="3" borderId="9" xfId="1" applyNumberFormat="1" applyFont="1" applyFill="1" applyBorder="1" applyAlignment="1">
      <alignment horizontal="center" vertical="center" wrapText="1"/>
    </xf>
    <xf numFmtId="3" fontId="45" fillId="3" borderId="10" xfId="1" applyNumberFormat="1" applyFont="1" applyFill="1" applyBorder="1" applyAlignment="1">
      <alignment horizontal="center" vertical="center" wrapText="1"/>
    </xf>
    <xf numFmtId="3" fontId="45" fillId="3" borderId="5" xfId="1" applyNumberFormat="1" applyFont="1" applyFill="1" applyBorder="1" applyAlignment="1">
      <alignment horizontal="center" vertical="center" wrapText="1"/>
    </xf>
    <xf numFmtId="0" fontId="35" fillId="0" borderId="5" xfId="1" applyFont="1" applyBorder="1" applyAlignment="1"/>
    <xf numFmtId="0" fontId="45" fillId="3" borderId="5" xfId="1" applyFont="1" applyFill="1" applyBorder="1" applyAlignment="1">
      <alignment horizontal="center" vertical="center" wrapText="1"/>
    </xf>
    <xf numFmtId="0" fontId="45" fillId="3" borderId="5" xfId="1" applyFont="1" applyFill="1" applyBorder="1" applyAlignment="1">
      <alignment horizontal="center" vertical="center"/>
    </xf>
    <xf numFmtId="0" fontId="45" fillId="3" borderId="5" xfId="1" applyFont="1" applyFill="1" applyBorder="1" applyAlignment="1">
      <alignment horizontal="center" vertical="center" textRotation="90" wrapText="1"/>
    </xf>
    <xf numFmtId="0" fontId="1" fillId="5" borderId="8" xfId="0" applyFont="1" applyFill="1" applyBorder="1" applyAlignment="1" applyProtection="1">
      <alignment horizontal="center" vertical="center"/>
      <protection locked="0"/>
    </xf>
    <xf numFmtId="0" fontId="1" fillId="5" borderId="9"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0" borderId="3" xfId="0" applyFont="1" applyBorder="1" applyAlignment="1">
      <alignment horizontal="center" vertical="center" wrapText="1"/>
    </xf>
    <xf numFmtId="0" fontId="1" fillId="0" borderId="0" xfId="0" applyFont="1" applyAlignment="1">
      <alignment horizontal="center" vertical="center"/>
    </xf>
    <xf numFmtId="0" fontId="1" fillId="0" borderId="5"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8" xfId="0" applyFont="1" applyBorder="1" applyAlignment="1">
      <alignment horizontal="center" wrapText="1"/>
    </xf>
    <xf numFmtId="0" fontId="1" fillId="0" borderId="10" xfId="0" applyFont="1" applyBorder="1" applyAlignment="1">
      <alignment horizontal="center" wrapText="1"/>
    </xf>
    <xf numFmtId="1" fontId="4" fillId="3" borderId="5" xfId="1" applyNumberFormat="1" applyFont="1" applyFill="1" applyBorder="1" applyAlignment="1">
      <alignment horizontal="center" vertical="center" wrapText="1"/>
    </xf>
    <xf numFmtId="0" fontId="6" fillId="4" borderId="5" xfId="0" applyFont="1" applyFill="1" applyBorder="1" applyAlignment="1">
      <alignment horizontal="center" vertical="center" wrapText="1"/>
    </xf>
    <xf numFmtId="0" fontId="2" fillId="5" borderId="5" xfId="0" applyFont="1" applyFill="1" applyBorder="1" applyAlignment="1" applyProtection="1">
      <alignment horizontal="center" vertical="center"/>
      <protection locked="0"/>
    </xf>
    <xf numFmtId="181" fontId="27" fillId="7" borderId="14" xfId="0" applyNumberFormat="1" applyFont="1" applyFill="1" applyBorder="1" applyAlignment="1">
      <alignment horizontal="center" vertical="center"/>
    </xf>
    <xf numFmtId="181" fontId="27" fillId="7" borderId="15" xfId="0" applyNumberFormat="1" applyFont="1" applyFill="1" applyBorder="1" applyAlignment="1">
      <alignment horizontal="center" vertical="center"/>
    </xf>
    <xf numFmtId="181" fontId="27" fillId="7" borderId="17" xfId="0" applyNumberFormat="1" applyFont="1" applyFill="1" applyBorder="1" applyAlignment="1">
      <alignment horizontal="center" vertical="center"/>
    </xf>
    <xf numFmtId="0" fontId="2" fillId="0" borderId="0" xfId="0" applyFont="1" applyAlignment="1">
      <alignment horizontal="center"/>
    </xf>
    <xf numFmtId="0" fontId="2" fillId="0" borderId="22"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37"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3" xfId="0" applyFont="1" applyBorder="1" applyAlignment="1">
      <alignment horizontal="center" wrapText="1"/>
    </xf>
    <xf numFmtId="0" fontId="2" fillId="0" borderId="5" xfId="0" applyFont="1" applyBorder="1" applyAlignment="1">
      <alignment horizontal="center" vertical="center" wrapText="1"/>
    </xf>
    <xf numFmtId="0" fontId="29" fillId="0" borderId="5" xfId="0" applyFont="1" applyBorder="1" applyAlignment="1">
      <alignment horizontal="center"/>
    </xf>
    <xf numFmtId="0" fontId="29" fillId="0" borderId="5" xfId="0" applyFont="1" applyBorder="1" applyAlignment="1" applyProtection="1">
      <alignment horizontal="center" vertical="center" wrapText="1"/>
      <protection locked="0"/>
    </xf>
    <xf numFmtId="0" fontId="29" fillId="0" borderId="5" xfId="0" applyFont="1" applyBorder="1" applyAlignment="1" applyProtection="1">
      <alignment horizontal="center" vertical="center"/>
      <protection locked="0"/>
    </xf>
    <xf numFmtId="0" fontId="29" fillId="0" borderId="11" xfId="0" applyFont="1" applyBorder="1" applyAlignment="1" applyProtection="1">
      <alignment horizontal="center" vertical="center"/>
      <protection locked="0"/>
    </xf>
    <xf numFmtId="0" fontId="2" fillId="49" borderId="8" xfId="0" applyFont="1" applyFill="1" applyBorder="1" applyAlignment="1" applyProtection="1">
      <alignment horizontal="center" vertical="center"/>
      <protection locked="0"/>
    </xf>
    <xf numFmtId="0" fontId="2" fillId="49" borderId="9" xfId="0" applyFont="1" applyFill="1" applyBorder="1" applyAlignment="1" applyProtection="1">
      <alignment horizontal="center" vertical="center"/>
      <protection locked="0"/>
    </xf>
    <xf numFmtId="0" fontId="2" fillId="49" borderId="10" xfId="0" applyFont="1" applyFill="1" applyBorder="1" applyAlignment="1" applyProtection="1">
      <alignment horizontal="center" vertical="center"/>
      <protection locked="0"/>
    </xf>
    <xf numFmtId="14" fontId="4" fillId="3" borderId="11" xfId="1" applyNumberFormat="1" applyFont="1" applyFill="1" applyBorder="1" applyAlignment="1">
      <alignment horizontal="center" vertical="center" wrapText="1"/>
    </xf>
    <xf numFmtId="14" fontId="4" fillId="3" borderId="12" xfId="1" applyNumberFormat="1" applyFont="1" applyFill="1" applyBorder="1" applyAlignment="1">
      <alignment horizontal="center" vertical="center" wrapText="1"/>
    </xf>
    <xf numFmtId="14" fontId="4" fillId="3" borderId="13" xfId="1" applyNumberFormat="1" applyFont="1" applyFill="1" applyBorder="1" applyAlignment="1">
      <alignment horizontal="center" vertical="center" wrapText="1"/>
    </xf>
  </cellXfs>
  <cellStyles count="377">
    <cellStyle name="20% - Énfasis1 2" xfId="95" xr:uid="{00000000-0005-0000-0000-000000000000}"/>
    <cellStyle name="20% - Énfasis1 2 2" xfId="96" xr:uid="{00000000-0005-0000-0000-000001000000}"/>
    <cellStyle name="20% - Énfasis1 3" xfId="97" xr:uid="{00000000-0005-0000-0000-000002000000}"/>
    <cellStyle name="20% - Énfasis1 3 2" xfId="98" xr:uid="{00000000-0005-0000-0000-000003000000}"/>
    <cellStyle name="20% - Énfasis1 4" xfId="99" xr:uid="{00000000-0005-0000-0000-000004000000}"/>
    <cellStyle name="20% - Énfasis2 2" xfId="100" xr:uid="{00000000-0005-0000-0000-000005000000}"/>
    <cellStyle name="20% - Énfasis2 2 2" xfId="101" xr:uid="{00000000-0005-0000-0000-000006000000}"/>
    <cellStyle name="20% - Énfasis2 3" xfId="102" xr:uid="{00000000-0005-0000-0000-000007000000}"/>
    <cellStyle name="20% - Énfasis2 3 2" xfId="103" xr:uid="{00000000-0005-0000-0000-000008000000}"/>
    <cellStyle name="20% - Énfasis2 4" xfId="104" xr:uid="{00000000-0005-0000-0000-000009000000}"/>
    <cellStyle name="20% - Énfasis3 2" xfId="105" xr:uid="{00000000-0005-0000-0000-00000A000000}"/>
    <cellStyle name="20% - Énfasis3 2 2" xfId="106" xr:uid="{00000000-0005-0000-0000-00000B000000}"/>
    <cellStyle name="20% - Énfasis3 3" xfId="107" xr:uid="{00000000-0005-0000-0000-00000C000000}"/>
    <cellStyle name="20% - Énfasis3 3 2" xfId="108" xr:uid="{00000000-0005-0000-0000-00000D000000}"/>
    <cellStyle name="20% - Énfasis3 4" xfId="109" xr:uid="{00000000-0005-0000-0000-00000E000000}"/>
    <cellStyle name="20% - Énfasis4 2" xfId="110" xr:uid="{00000000-0005-0000-0000-00000F000000}"/>
    <cellStyle name="20% - Énfasis4 2 2" xfId="111" xr:uid="{00000000-0005-0000-0000-000010000000}"/>
    <cellStyle name="20% - Énfasis4 3" xfId="112" xr:uid="{00000000-0005-0000-0000-000011000000}"/>
    <cellStyle name="20% - Énfasis4 3 2" xfId="113" xr:uid="{00000000-0005-0000-0000-000012000000}"/>
    <cellStyle name="20% - Énfasis4 4" xfId="114" xr:uid="{00000000-0005-0000-0000-000013000000}"/>
    <cellStyle name="20% - Énfasis5 2" xfId="115" xr:uid="{00000000-0005-0000-0000-000014000000}"/>
    <cellStyle name="20% - Énfasis5 2 2" xfId="116" xr:uid="{00000000-0005-0000-0000-000015000000}"/>
    <cellStyle name="20% - Énfasis5 3" xfId="117" xr:uid="{00000000-0005-0000-0000-000016000000}"/>
    <cellStyle name="20% - Énfasis5 3 2" xfId="118" xr:uid="{00000000-0005-0000-0000-000017000000}"/>
    <cellStyle name="20% - Énfasis5 4" xfId="119" xr:uid="{00000000-0005-0000-0000-000018000000}"/>
    <cellStyle name="20% - Énfasis6 2" xfId="120" xr:uid="{00000000-0005-0000-0000-000019000000}"/>
    <cellStyle name="20% - Énfasis6 2 2" xfId="121" xr:uid="{00000000-0005-0000-0000-00001A000000}"/>
    <cellStyle name="20% - Énfasis6 3" xfId="122" xr:uid="{00000000-0005-0000-0000-00001B000000}"/>
    <cellStyle name="20% - Énfasis6 3 2" xfId="123" xr:uid="{00000000-0005-0000-0000-00001C000000}"/>
    <cellStyle name="20% - Énfasis6 4" xfId="124" xr:uid="{00000000-0005-0000-0000-00001D000000}"/>
    <cellStyle name="40% - Énfasis1 2" xfId="125" xr:uid="{00000000-0005-0000-0000-00001E000000}"/>
    <cellStyle name="40% - Énfasis1 2 2" xfId="126" xr:uid="{00000000-0005-0000-0000-00001F000000}"/>
    <cellStyle name="40% - Énfasis1 3" xfId="127" xr:uid="{00000000-0005-0000-0000-000020000000}"/>
    <cellStyle name="40% - Énfasis1 3 2" xfId="128" xr:uid="{00000000-0005-0000-0000-000021000000}"/>
    <cellStyle name="40% - Énfasis1 4" xfId="129" xr:uid="{00000000-0005-0000-0000-000022000000}"/>
    <cellStyle name="40% - Énfasis2 2" xfId="130" xr:uid="{00000000-0005-0000-0000-000023000000}"/>
    <cellStyle name="40% - Énfasis2 2 2" xfId="131" xr:uid="{00000000-0005-0000-0000-000024000000}"/>
    <cellStyle name="40% - Énfasis2 3" xfId="132" xr:uid="{00000000-0005-0000-0000-000025000000}"/>
    <cellStyle name="40% - Énfasis2 3 2" xfId="133" xr:uid="{00000000-0005-0000-0000-000026000000}"/>
    <cellStyle name="40% - Énfasis2 4" xfId="134" xr:uid="{00000000-0005-0000-0000-000027000000}"/>
    <cellStyle name="40% - Énfasis3 2" xfId="135" xr:uid="{00000000-0005-0000-0000-000028000000}"/>
    <cellStyle name="40% - Énfasis3 2 2" xfId="136" xr:uid="{00000000-0005-0000-0000-000029000000}"/>
    <cellStyle name="40% - Énfasis3 3" xfId="137" xr:uid="{00000000-0005-0000-0000-00002A000000}"/>
    <cellStyle name="40% - Énfasis3 3 2" xfId="138" xr:uid="{00000000-0005-0000-0000-00002B000000}"/>
    <cellStyle name="40% - Énfasis3 4" xfId="139" xr:uid="{00000000-0005-0000-0000-00002C000000}"/>
    <cellStyle name="40% - Énfasis4 2" xfId="140" xr:uid="{00000000-0005-0000-0000-00002D000000}"/>
    <cellStyle name="40% - Énfasis4 2 2" xfId="141" xr:uid="{00000000-0005-0000-0000-00002E000000}"/>
    <cellStyle name="40% - Énfasis4 3" xfId="142" xr:uid="{00000000-0005-0000-0000-00002F000000}"/>
    <cellStyle name="40% - Énfasis4 3 2" xfId="143" xr:uid="{00000000-0005-0000-0000-000030000000}"/>
    <cellStyle name="40% - Énfasis4 4" xfId="144" xr:uid="{00000000-0005-0000-0000-000031000000}"/>
    <cellStyle name="40% - Énfasis5 2" xfId="145" xr:uid="{00000000-0005-0000-0000-000032000000}"/>
    <cellStyle name="40% - Énfasis5 2 2" xfId="146" xr:uid="{00000000-0005-0000-0000-000033000000}"/>
    <cellStyle name="40% - Énfasis5 3" xfId="147" xr:uid="{00000000-0005-0000-0000-000034000000}"/>
    <cellStyle name="40% - Énfasis5 3 2" xfId="148" xr:uid="{00000000-0005-0000-0000-000035000000}"/>
    <cellStyle name="40% - Énfasis5 4" xfId="149" xr:uid="{00000000-0005-0000-0000-000036000000}"/>
    <cellStyle name="40% - Énfasis6 2" xfId="150" xr:uid="{00000000-0005-0000-0000-000037000000}"/>
    <cellStyle name="40% - Énfasis6 2 2" xfId="151" xr:uid="{00000000-0005-0000-0000-000038000000}"/>
    <cellStyle name="40% - Énfasis6 3" xfId="152" xr:uid="{00000000-0005-0000-0000-000039000000}"/>
    <cellStyle name="40% - Énfasis6 3 2" xfId="153" xr:uid="{00000000-0005-0000-0000-00003A000000}"/>
    <cellStyle name="40% - Énfasis6 4" xfId="154" xr:uid="{00000000-0005-0000-0000-00003B000000}"/>
    <cellStyle name="60% - Énfasis1 2" xfId="155" xr:uid="{00000000-0005-0000-0000-00003C000000}"/>
    <cellStyle name="60% - Énfasis1 2 2" xfId="156" xr:uid="{00000000-0005-0000-0000-00003D000000}"/>
    <cellStyle name="60% - Énfasis1 3" xfId="157" xr:uid="{00000000-0005-0000-0000-00003E000000}"/>
    <cellStyle name="60% - Énfasis1 3 2" xfId="158" xr:uid="{00000000-0005-0000-0000-00003F000000}"/>
    <cellStyle name="60% - Énfasis1 4" xfId="159" xr:uid="{00000000-0005-0000-0000-000040000000}"/>
    <cellStyle name="60% - Énfasis2 2" xfId="160" xr:uid="{00000000-0005-0000-0000-000041000000}"/>
    <cellStyle name="60% - Énfasis2 2 2" xfId="161" xr:uid="{00000000-0005-0000-0000-000042000000}"/>
    <cellStyle name="60% - Énfasis2 3" xfId="162" xr:uid="{00000000-0005-0000-0000-000043000000}"/>
    <cellStyle name="60% - Énfasis2 3 2" xfId="163" xr:uid="{00000000-0005-0000-0000-000044000000}"/>
    <cellStyle name="60% - Énfasis2 4" xfId="164" xr:uid="{00000000-0005-0000-0000-000045000000}"/>
    <cellStyle name="60% - Énfasis3 2" xfId="165" xr:uid="{00000000-0005-0000-0000-000046000000}"/>
    <cellStyle name="60% - Énfasis3 2 2" xfId="166" xr:uid="{00000000-0005-0000-0000-000047000000}"/>
    <cellStyle name="60% - Énfasis3 3" xfId="167" xr:uid="{00000000-0005-0000-0000-000048000000}"/>
    <cellStyle name="60% - Énfasis3 3 2" xfId="168" xr:uid="{00000000-0005-0000-0000-000049000000}"/>
    <cellStyle name="60% - Énfasis3 4" xfId="169" xr:uid="{00000000-0005-0000-0000-00004A000000}"/>
    <cellStyle name="60% - Énfasis4 2" xfId="170" xr:uid="{00000000-0005-0000-0000-00004B000000}"/>
    <cellStyle name="60% - Énfasis4 2 2" xfId="171" xr:uid="{00000000-0005-0000-0000-00004C000000}"/>
    <cellStyle name="60% - Énfasis4 3" xfId="172" xr:uid="{00000000-0005-0000-0000-00004D000000}"/>
    <cellStyle name="60% - Énfasis4 3 2" xfId="173" xr:uid="{00000000-0005-0000-0000-00004E000000}"/>
    <cellStyle name="60% - Énfasis4 4" xfId="174" xr:uid="{00000000-0005-0000-0000-00004F000000}"/>
    <cellStyle name="60% - Énfasis5 2" xfId="175" xr:uid="{00000000-0005-0000-0000-000050000000}"/>
    <cellStyle name="60% - Énfasis5 2 2" xfId="176" xr:uid="{00000000-0005-0000-0000-000051000000}"/>
    <cellStyle name="60% - Énfasis5 3" xfId="177" xr:uid="{00000000-0005-0000-0000-000052000000}"/>
    <cellStyle name="60% - Énfasis5 3 2" xfId="178" xr:uid="{00000000-0005-0000-0000-000053000000}"/>
    <cellStyle name="60% - Énfasis5 4" xfId="179" xr:uid="{00000000-0005-0000-0000-000054000000}"/>
    <cellStyle name="60% - Énfasis6 2" xfId="180" xr:uid="{00000000-0005-0000-0000-000055000000}"/>
    <cellStyle name="60% - Énfasis6 2 2" xfId="181" xr:uid="{00000000-0005-0000-0000-000056000000}"/>
    <cellStyle name="60% - Énfasis6 3" xfId="182" xr:uid="{00000000-0005-0000-0000-000057000000}"/>
    <cellStyle name="60% - Énfasis6 3 2" xfId="183" xr:uid="{00000000-0005-0000-0000-000058000000}"/>
    <cellStyle name="60% - Énfasis6 4" xfId="184" xr:uid="{00000000-0005-0000-0000-000059000000}"/>
    <cellStyle name="cf1" xfId="185" xr:uid="{00000000-0005-0000-0000-00005A000000}"/>
    <cellStyle name="cf10" xfId="186" xr:uid="{00000000-0005-0000-0000-00005B000000}"/>
    <cellStyle name="cf2" xfId="187" xr:uid="{00000000-0005-0000-0000-00005C000000}"/>
    <cellStyle name="cf3" xfId="188" xr:uid="{00000000-0005-0000-0000-00005D000000}"/>
    <cellStyle name="cf4" xfId="189" xr:uid="{00000000-0005-0000-0000-00005E000000}"/>
    <cellStyle name="cf5" xfId="190" xr:uid="{00000000-0005-0000-0000-00005F000000}"/>
    <cellStyle name="cf6" xfId="191" xr:uid="{00000000-0005-0000-0000-000060000000}"/>
    <cellStyle name="cf7" xfId="192" xr:uid="{00000000-0005-0000-0000-000061000000}"/>
    <cellStyle name="cf8" xfId="193" xr:uid="{00000000-0005-0000-0000-000062000000}"/>
    <cellStyle name="cf9" xfId="194" xr:uid="{00000000-0005-0000-0000-000063000000}"/>
    <cellStyle name="Excel Built-in Normal" xfId="15" xr:uid="{00000000-0005-0000-0000-000064000000}"/>
    <cellStyle name="KPT04" xfId="3" xr:uid="{00000000-0005-0000-0000-000065000000}"/>
    <cellStyle name="KPT04 2" xfId="26" xr:uid="{00000000-0005-0000-0000-000066000000}"/>
    <cellStyle name="KPT04 2 2" xfId="196" xr:uid="{00000000-0005-0000-0000-000067000000}"/>
    <cellStyle name="KPT04 3" xfId="195" xr:uid="{00000000-0005-0000-0000-000068000000}"/>
    <cellStyle name="KPT04 3 2" xfId="374" xr:uid="{00000000-0005-0000-0000-000069000000}"/>
    <cellStyle name="Millares" xfId="369" builtinId="3"/>
    <cellStyle name="Millares [0] 2" xfId="197" xr:uid="{00000000-0005-0000-0000-00006B000000}"/>
    <cellStyle name="Millares [0] 2 2" xfId="198" xr:uid="{00000000-0005-0000-0000-00006C000000}"/>
    <cellStyle name="Millares [0] 2 2 2" xfId="199" xr:uid="{00000000-0005-0000-0000-00006D000000}"/>
    <cellStyle name="Millares [0] 2 3" xfId="200" xr:uid="{00000000-0005-0000-0000-00006E000000}"/>
    <cellStyle name="Millares [0] 2 3 2" xfId="201" xr:uid="{00000000-0005-0000-0000-00006F000000}"/>
    <cellStyle name="Millares [0] 2 4" xfId="202" xr:uid="{00000000-0005-0000-0000-000070000000}"/>
    <cellStyle name="Millares [0] 3" xfId="203" xr:uid="{00000000-0005-0000-0000-000071000000}"/>
    <cellStyle name="Millares [0] 3 2" xfId="204" xr:uid="{00000000-0005-0000-0000-000072000000}"/>
    <cellStyle name="Millares 2" xfId="5" xr:uid="{00000000-0005-0000-0000-000073000000}"/>
    <cellStyle name="Millares 2 2" xfId="8" xr:uid="{00000000-0005-0000-0000-000074000000}"/>
    <cellStyle name="Millares 2 2 2" xfId="207" xr:uid="{00000000-0005-0000-0000-000075000000}"/>
    <cellStyle name="Millares 2 2 3" xfId="206" xr:uid="{00000000-0005-0000-0000-000076000000}"/>
    <cellStyle name="Millares 2 3" xfId="20" xr:uid="{00000000-0005-0000-0000-000077000000}"/>
    <cellStyle name="Millares 2 4" xfId="205" xr:uid="{00000000-0005-0000-0000-000078000000}"/>
    <cellStyle name="Millares 3" xfId="23" xr:uid="{00000000-0005-0000-0000-000079000000}"/>
    <cellStyle name="Millares 3 2" xfId="32" xr:uid="{00000000-0005-0000-0000-00007A000000}"/>
    <cellStyle name="Millares 3 2 2" xfId="210" xr:uid="{00000000-0005-0000-0000-00007B000000}"/>
    <cellStyle name="Millares 3 2 3" xfId="209" xr:uid="{00000000-0005-0000-0000-00007C000000}"/>
    <cellStyle name="Millares 3 3" xfId="211" xr:uid="{00000000-0005-0000-0000-00007D000000}"/>
    <cellStyle name="Millares 3 3 2" xfId="212" xr:uid="{00000000-0005-0000-0000-00007E000000}"/>
    <cellStyle name="Millares 3 4" xfId="213" xr:uid="{00000000-0005-0000-0000-00007F000000}"/>
    <cellStyle name="Millares 3 5" xfId="208" xr:uid="{00000000-0005-0000-0000-000080000000}"/>
    <cellStyle name="Millares 4" xfId="214" xr:uid="{00000000-0005-0000-0000-000081000000}"/>
    <cellStyle name="Millares 5" xfId="35" xr:uid="{00000000-0005-0000-0000-000082000000}"/>
    <cellStyle name="Millares 6" xfId="375" xr:uid="{00000000-0005-0000-0000-000083000000}"/>
    <cellStyle name="Millares 7" xfId="215" xr:uid="{00000000-0005-0000-0000-000084000000}"/>
    <cellStyle name="Millares 7 2" xfId="216" xr:uid="{00000000-0005-0000-0000-000085000000}"/>
    <cellStyle name="Moneda" xfId="367" builtinId="4"/>
    <cellStyle name="Moneda [0]" xfId="370" builtinId="7"/>
    <cellStyle name="Moneda [0] 2" xfId="7" xr:uid="{00000000-0005-0000-0000-000088000000}"/>
    <cellStyle name="Moneda [0] 2 2" xfId="18" xr:uid="{00000000-0005-0000-0000-000089000000}"/>
    <cellStyle name="Moneda [0] 2 2 2" xfId="218" xr:uid="{00000000-0005-0000-0000-00008A000000}"/>
    <cellStyle name="Moneda [0] 2 2 3" xfId="65" xr:uid="{00000000-0005-0000-0000-00008B000000}"/>
    <cellStyle name="Moneda [0] 2 3" xfId="85" xr:uid="{00000000-0005-0000-0000-00008C000000}"/>
    <cellStyle name="Moneda [0] 2 4" xfId="83" xr:uid="{00000000-0005-0000-0000-00008D000000}"/>
    <cellStyle name="Moneda [0] 2 5" xfId="217" xr:uid="{00000000-0005-0000-0000-00008E000000}"/>
    <cellStyle name="Moneda [0] 2 6" xfId="363" xr:uid="{00000000-0005-0000-0000-00008F000000}"/>
    <cellStyle name="Moneda [0] 2 7" xfId="41" xr:uid="{00000000-0005-0000-0000-000090000000}"/>
    <cellStyle name="Moneda [0] 2 8" xfId="364" xr:uid="{00000000-0005-0000-0000-000091000000}"/>
    <cellStyle name="Moneda [0] 3" xfId="33" xr:uid="{00000000-0005-0000-0000-000092000000}"/>
    <cellStyle name="Moneda [0] 3 2" xfId="60" xr:uid="{00000000-0005-0000-0000-000093000000}"/>
    <cellStyle name="Moneda [0] 3 3" xfId="44" xr:uid="{00000000-0005-0000-0000-000094000000}"/>
    <cellStyle name="Moneda [0] 4" xfId="36" xr:uid="{00000000-0005-0000-0000-000095000000}"/>
    <cellStyle name="Moneda [0] 4 2" xfId="47" xr:uid="{00000000-0005-0000-0000-000096000000}"/>
    <cellStyle name="Moneda [0] 5" xfId="76" xr:uid="{00000000-0005-0000-0000-000097000000}"/>
    <cellStyle name="Moneda [0] 6" xfId="82" xr:uid="{00000000-0005-0000-0000-000098000000}"/>
    <cellStyle name="Moneda 10" xfId="53" xr:uid="{00000000-0005-0000-0000-000099000000}"/>
    <cellStyle name="Moneda 11" xfId="63" xr:uid="{00000000-0005-0000-0000-00009A000000}"/>
    <cellStyle name="Moneda 11 2" xfId="25" xr:uid="{00000000-0005-0000-0000-00009B000000}"/>
    <cellStyle name="Moneda 11 2 2" xfId="84" xr:uid="{00000000-0005-0000-0000-00009C000000}"/>
    <cellStyle name="Moneda 12" xfId="48" xr:uid="{00000000-0005-0000-0000-00009D000000}"/>
    <cellStyle name="Moneda 13" xfId="61" xr:uid="{00000000-0005-0000-0000-00009E000000}"/>
    <cellStyle name="Moneda 14" xfId="66" xr:uid="{00000000-0005-0000-0000-00009F000000}"/>
    <cellStyle name="Moneda 15" xfId="67" xr:uid="{00000000-0005-0000-0000-0000A0000000}"/>
    <cellStyle name="Moneda 15 2" xfId="39" xr:uid="{00000000-0005-0000-0000-0000A1000000}"/>
    <cellStyle name="Moneda 16" xfId="54" xr:uid="{00000000-0005-0000-0000-0000A2000000}"/>
    <cellStyle name="Moneda 17" xfId="45" xr:uid="{00000000-0005-0000-0000-0000A3000000}"/>
    <cellStyle name="Moneda 18" xfId="68" xr:uid="{00000000-0005-0000-0000-0000A4000000}"/>
    <cellStyle name="Moneda 19" xfId="73" xr:uid="{00000000-0005-0000-0000-0000A5000000}"/>
    <cellStyle name="Moneda 2" xfId="6" xr:uid="{00000000-0005-0000-0000-0000A6000000}"/>
    <cellStyle name="Moneda 2 2" xfId="62" xr:uid="{00000000-0005-0000-0000-0000A7000000}"/>
    <cellStyle name="Moneda 2 3" xfId="219" xr:uid="{00000000-0005-0000-0000-0000A8000000}"/>
    <cellStyle name="Moneda 2 4" xfId="362" xr:uid="{00000000-0005-0000-0000-0000A9000000}"/>
    <cellStyle name="Moneda 2 5" xfId="40" xr:uid="{00000000-0005-0000-0000-0000AA000000}"/>
    <cellStyle name="Moneda 2 6" xfId="366" xr:uid="{00000000-0005-0000-0000-0000AB000000}"/>
    <cellStyle name="Moneda 20" xfId="71" xr:uid="{00000000-0005-0000-0000-0000AC000000}"/>
    <cellStyle name="Moneda 21" xfId="77" xr:uid="{00000000-0005-0000-0000-0000AD000000}"/>
    <cellStyle name="Moneda 22" xfId="72" xr:uid="{00000000-0005-0000-0000-0000AE000000}"/>
    <cellStyle name="Moneda 23" xfId="52" xr:uid="{00000000-0005-0000-0000-0000AF000000}"/>
    <cellStyle name="Moneda 24" xfId="70" xr:uid="{00000000-0005-0000-0000-0000B0000000}"/>
    <cellStyle name="Moneda 25" xfId="51" xr:uid="{00000000-0005-0000-0000-0000B1000000}"/>
    <cellStyle name="Moneda 26" xfId="69" xr:uid="{00000000-0005-0000-0000-0000B2000000}"/>
    <cellStyle name="Moneda 27" xfId="78" xr:uid="{00000000-0005-0000-0000-0000B3000000}"/>
    <cellStyle name="Moneda 27 2" xfId="92" xr:uid="{00000000-0005-0000-0000-0000B4000000}"/>
    <cellStyle name="Moneda 28" xfId="79" xr:uid="{00000000-0005-0000-0000-0000B5000000}"/>
    <cellStyle name="Moneda 29" xfId="80" xr:uid="{00000000-0005-0000-0000-0000B6000000}"/>
    <cellStyle name="Moneda 3" xfId="4" xr:uid="{00000000-0005-0000-0000-0000B7000000}"/>
    <cellStyle name="Moneda 3 2" xfId="17" xr:uid="{00000000-0005-0000-0000-0000B8000000}"/>
    <cellStyle name="Moneda 3 2 2" xfId="220" xr:uid="{00000000-0005-0000-0000-0000B9000000}"/>
    <cellStyle name="Moneda 3 3" xfId="31" xr:uid="{00000000-0005-0000-0000-0000BA000000}"/>
    <cellStyle name="Moneda 3 4" xfId="43" xr:uid="{00000000-0005-0000-0000-0000BB000000}"/>
    <cellStyle name="Moneda 30" xfId="87" xr:uid="{00000000-0005-0000-0000-0000BC000000}"/>
    <cellStyle name="Moneda 31" xfId="88" xr:uid="{00000000-0005-0000-0000-0000BD000000}"/>
    <cellStyle name="Moneda 32" xfId="89" xr:uid="{00000000-0005-0000-0000-0000BE000000}"/>
    <cellStyle name="Moneda 33" xfId="90" xr:uid="{00000000-0005-0000-0000-0000BF000000}"/>
    <cellStyle name="Moneda 34" xfId="91" xr:uid="{00000000-0005-0000-0000-0000C0000000}"/>
    <cellStyle name="Moneda 35" xfId="93" xr:uid="{00000000-0005-0000-0000-0000C1000000}"/>
    <cellStyle name="Moneda 36" xfId="74" xr:uid="{00000000-0005-0000-0000-0000C2000000}"/>
    <cellStyle name="Moneda 37" xfId="75" xr:uid="{00000000-0005-0000-0000-0000C3000000}"/>
    <cellStyle name="Moneda 38" xfId="343" xr:uid="{00000000-0005-0000-0000-0000C4000000}"/>
    <cellStyle name="Moneda 39" xfId="359" xr:uid="{00000000-0005-0000-0000-0000C5000000}"/>
    <cellStyle name="Moneda 4" xfId="10" xr:uid="{00000000-0005-0000-0000-0000C6000000}"/>
    <cellStyle name="Moneda 4 2" xfId="24" xr:uid="{00000000-0005-0000-0000-0000C7000000}"/>
    <cellStyle name="Moneda 4 2 2" xfId="223" xr:uid="{00000000-0005-0000-0000-0000C8000000}"/>
    <cellStyle name="Moneda 4 2 3" xfId="222" xr:uid="{00000000-0005-0000-0000-0000C9000000}"/>
    <cellStyle name="Moneda 4 2 4" xfId="86" xr:uid="{00000000-0005-0000-0000-0000CA000000}"/>
    <cellStyle name="Moneda 4 3" xfId="224" xr:uid="{00000000-0005-0000-0000-0000CB000000}"/>
    <cellStyle name="Moneda 4 3 2" xfId="225" xr:uid="{00000000-0005-0000-0000-0000CC000000}"/>
    <cellStyle name="Moneda 4 4" xfId="226" xr:uid="{00000000-0005-0000-0000-0000CD000000}"/>
    <cellStyle name="Moneda 4 5" xfId="221" xr:uid="{00000000-0005-0000-0000-0000CE000000}"/>
    <cellStyle name="Moneda 4 6" xfId="56" xr:uid="{00000000-0005-0000-0000-0000CF000000}"/>
    <cellStyle name="Moneda 40" xfId="345" xr:uid="{00000000-0005-0000-0000-0000D0000000}"/>
    <cellStyle name="Moneda 41" xfId="357" xr:uid="{00000000-0005-0000-0000-0000D1000000}"/>
    <cellStyle name="Moneda 42" xfId="346" xr:uid="{00000000-0005-0000-0000-0000D2000000}"/>
    <cellStyle name="Moneda 43" xfId="356" xr:uid="{00000000-0005-0000-0000-0000D3000000}"/>
    <cellStyle name="Moneda 44" xfId="347" xr:uid="{00000000-0005-0000-0000-0000D4000000}"/>
    <cellStyle name="Moneda 45" xfId="355" xr:uid="{00000000-0005-0000-0000-0000D5000000}"/>
    <cellStyle name="Moneda 46" xfId="348" xr:uid="{00000000-0005-0000-0000-0000D6000000}"/>
    <cellStyle name="Moneda 47" xfId="354" xr:uid="{00000000-0005-0000-0000-0000D7000000}"/>
    <cellStyle name="Moneda 48" xfId="349" xr:uid="{00000000-0005-0000-0000-0000D8000000}"/>
    <cellStyle name="Moneda 49" xfId="353" xr:uid="{00000000-0005-0000-0000-0000D9000000}"/>
    <cellStyle name="Moneda 5" xfId="29" xr:uid="{00000000-0005-0000-0000-0000DA000000}"/>
    <cellStyle name="Moneda 5 2" xfId="341" xr:uid="{00000000-0005-0000-0000-0000DB000000}"/>
    <cellStyle name="Moneda 5 3" xfId="55" xr:uid="{00000000-0005-0000-0000-0000DC000000}"/>
    <cellStyle name="Moneda 50" xfId="350" xr:uid="{00000000-0005-0000-0000-0000DD000000}"/>
    <cellStyle name="Moneda 51" xfId="352" xr:uid="{00000000-0005-0000-0000-0000DE000000}"/>
    <cellStyle name="Moneda 52" xfId="351" xr:uid="{00000000-0005-0000-0000-0000DF000000}"/>
    <cellStyle name="Moneda 53" xfId="360" xr:uid="{00000000-0005-0000-0000-0000E0000000}"/>
    <cellStyle name="Moneda 54" xfId="306" xr:uid="{00000000-0005-0000-0000-0000E1000000}"/>
    <cellStyle name="Moneda 55" xfId="358" xr:uid="{00000000-0005-0000-0000-0000E2000000}"/>
    <cellStyle name="Moneda 56" xfId="361" xr:uid="{00000000-0005-0000-0000-0000E3000000}"/>
    <cellStyle name="Moneda 57" xfId="365" xr:uid="{00000000-0005-0000-0000-0000E4000000}"/>
    <cellStyle name="Moneda 6" xfId="28" xr:uid="{00000000-0005-0000-0000-0000E5000000}"/>
    <cellStyle name="Moneda 6 2" xfId="58" xr:uid="{00000000-0005-0000-0000-0000E6000000}"/>
    <cellStyle name="Moneda 6 3" xfId="372" xr:uid="{00000000-0005-0000-0000-0000E7000000}"/>
    <cellStyle name="Moneda 7" xfId="59" xr:uid="{00000000-0005-0000-0000-0000E8000000}"/>
    <cellStyle name="Moneda 8" xfId="46" xr:uid="{00000000-0005-0000-0000-0000E9000000}"/>
    <cellStyle name="Moneda 9" xfId="50" xr:uid="{00000000-0005-0000-0000-0000EA000000}"/>
    <cellStyle name="Neutral 2" xfId="227" xr:uid="{00000000-0005-0000-0000-0000EB000000}"/>
    <cellStyle name="Neutral 3" xfId="228" xr:uid="{00000000-0005-0000-0000-0000EC000000}"/>
    <cellStyle name="Nivel 1,2.3,5,6,9" xfId="229" xr:uid="{00000000-0005-0000-0000-0000ED000000}"/>
    <cellStyle name="Nivel 4" xfId="230" xr:uid="{00000000-0005-0000-0000-0000EE000000}"/>
    <cellStyle name="Nivel 7" xfId="231" xr:uid="{00000000-0005-0000-0000-0000EF000000}"/>
    <cellStyle name="Normal" xfId="0" builtinId="0"/>
    <cellStyle name="Normal 10" xfId="232" xr:uid="{00000000-0005-0000-0000-0000F1000000}"/>
    <cellStyle name="Normal 10 2" xfId="233" xr:uid="{00000000-0005-0000-0000-0000F2000000}"/>
    <cellStyle name="Normal 10 2 2" xfId="234" xr:uid="{00000000-0005-0000-0000-0000F3000000}"/>
    <cellStyle name="Normal 10 2 2 2" xfId="235" xr:uid="{00000000-0005-0000-0000-0000F4000000}"/>
    <cellStyle name="Normal 10 2 3" xfId="236" xr:uid="{00000000-0005-0000-0000-0000F5000000}"/>
    <cellStyle name="Normal 10 2 3 2" xfId="237" xr:uid="{00000000-0005-0000-0000-0000F6000000}"/>
    <cellStyle name="Normal 10 2 4" xfId="238" xr:uid="{00000000-0005-0000-0000-0000F7000000}"/>
    <cellStyle name="Normal 10 3" xfId="239" xr:uid="{00000000-0005-0000-0000-0000F8000000}"/>
    <cellStyle name="Normal 10 3 2" xfId="240" xr:uid="{00000000-0005-0000-0000-0000F9000000}"/>
    <cellStyle name="Normal 10 4" xfId="241" xr:uid="{00000000-0005-0000-0000-0000FA000000}"/>
    <cellStyle name="Normal 10 4 2" xfId="242" xr:uid="{00000000-0005-0000-0000-0000FB000000}"/>
    <cellStyle name="Normal 10 5" xfId="243" xr:uid="{00000000-0005-0000-0000-0000FC000000}"/>
    <cellStyle name="Normal 100" xfId="49" xr:uid="{00000000-0005-0000-0000-0000FD000000}"/>
    <cellStyle name="Normal 11" xfId="244" xr:uid="{00000000-0005-0000-0000-0000FE000000}"/>
    <cellStyle name="Normal 11 2" xfId="245" xr:uid="{00000000-0005-0000-0000-0000FF000000}"/>
    <cellStyle name="Normal 11 2 2" xfId="246" xr:uid="{00000000-0005-0000-0000-000000010000}"/>
    <cellStyle name="Normal 11 2 2 2" xfId="247" xr:uid="{00000000-0005-0000-0000-000001010000}"/>
    <cellStyle name="Normal 11 2 3" xfId="248" xr:uid="{00000000-0005-0000-0000-000002010000}"/>
    <cellStyle name="Normal 11 2 3 2" xfId="249" xr:uid="{00000000-0005-0000-0000-000003010000}"/>
    <cellStyle name="Normal 11 2 4" xfId="250" xr:uid="{00000000-0005-0000-0000-000004010000}"/>
    <cellStyle name="Normal 11 3" xfId="251" xr:uid="{00000000-0005-0000-0000-000005010000}"/>
    <cellStyle name="Normal 11 3 2" xfId="252" xr:uid="{00000000-0005-0000-0000-000006010000}"/>
    <cellStyle name="Normal 11 4" xfId="253" xr:uid="{00000000-0005-0000-0000-000007010000}"/>
    <cellStyle name="Normal 11 4 2" xfId="254" xr:uid="{00000000-0005-0000-0000-000008010000}"/>
    <cellStyle name="Normal 11 5" xfId="255" xr:uid="{00000000-0005-0000-0000-000009010000}"/>
    <cellStyle name="Normal 12" xfId="256" xr:uid="{00000000-0005-0000-0000-00000A010000}"/>
    <cellStyle name="Normal 12 2" xfId="257" xr:uid="{00000000-0005-0000-0000-00000B010000}"/>
    <cellStyle name="Normal 12 2 2" xfId="258" xr:uid="{00000000-0005-0000-0000-00000C010000}"/>
    <cellStyle name="Normal 12 3" xfId="259" xr:uid="{00000000-0005-0000-0000-00000D010000}"/>
    <cellStyle name="Normal 12 3 2" xfId="260" xr:uid="{00000000-0005-0000-0000-00000E010000}"/>
    <cellStyle name="Normal 12 4" xfId="261" xr:uid="{00000000-0005-0000-0000-00000F010000}"/>
    <cellStyle name="Normal 13" xfId="262" xr:uid="{00000000-0005-0000-0000-000010010000}"/>
    <cellStyle name="Normal 13 2" xfId="263" xr:uid="{00000000-0005-0000-0000-000011010000}"/>
    <cellStyle name="Normal 13 2 2" xfId="264" xr:uid="{00000000-0005-0000-0000-000012010000}"/>
    <cellStyle name="Normal 13 3" xfId="265" xr:uid="{00000000-0005-0000-0000-000013010000}"/>
    <cellStyle name="Normal 13 3 2" xfId="266" xr:uid="{00000000-0005-0000-0000-000014010000}"/>
    <cellStyle name="Normal 13 4" xfId="267" xr:uid="{00000000-0005-0000-0000-000015010000}"/>
    <cellStyle name="Normal 14" xfId="268" xr:uid="{00000000-0005-0000-0000-000016010000}"/>
    <cellStyle name="Normal 14 2" xfId="269" xr:uid="{00000000-0005-0000-0000-000017010000}"/>
    <cellStyle name="Normal 14 2 2" xfId="270" xr:uid="{00000000-0005-0000-0000-000018010000}"/>
    <cellStyle name="Normal 14 3" xfId="271" xr:uid="{00000000-0005-0000-0000-000019010000}"/>
    <cellStyle name="Normal 14 3 2" xfId="272" xr:uid="{00000000-0005-0000-0000-00001A010000}"/>
    <cellStyle name="Normal 14 4" xfId="273" xr:uid="{00000000-0005-0000-0000-00001B010000}"/>
    <cellStyle name="Normal 15" xfId="274" xr:uid="{00000000-0005-0000-0000-00001C010000}"/>
    <cellStyle name="Normal 15 2" xfId="275" xr:uid="{00000000-0005-0000-0000-00001D010000}"/>
    <cellStyle name="Normal 15 2 2" xfId="342" xr:uid="{00000000-0005-0000-0000-00001E010000}"/>
    <cellStyle name="Normal 16" xfId="276" xr:uid="{00000000-0005-0000-0000-00001F010000}"/>
    <cellStyle name="Normal 16 2" xfId="277" xr:uid="{00000000-0005-0000-0000-000020010000}"/>
    <cellStyle name="Normal 17" xfId="278" xr:uid="{00000000-0005-0000-0000-000021010000}"/>
    <cellStyle name="Normal 17 2" xfId="279" xr:uid="{00000000-0005-0000-0000-000022010000}"/>
    <cellStyle name="Normal 18" xfId="280" xr:uid="{00000000-0005-0000-0000-000023010000}"/>
    <cellStyle name="Normal 19" xfId="281" xr:uid="{00000000-0005-0000-0000-000024010000}"/>
    <cellStyle name="Normal 19 2" xfId="282" xr:uid="{00000000-0005-0000-0000-000025010000}"/>
    <cellStyle name="Normal 2" xfId="2" xr:uid="{00000000-0005-0000-0000-000026010000}"/>
    <cellStyle name="Normal 2 2" xfId="27" xr:uid="{00000000-0005-0000-0000-000027010000}"/>
    <cellStyle name="Normal 2 2 2" xfId="285" xr:uid="{00000000-0005-0000-0000-000028010000}"/>
    <cellStyle name="Normal 2 2 2 2" xfId="286" xr:uid="{00000000-0005-0000-0000-000029010000}"/>
    <cellStyle name="Normal 2 2 2 2 2 2" xfId="13" xr:uid="{00000000-0005-0000-0000-00002A010000}"/>
    <cellStyle name="Normal 2 2 3" xfId="284" xr:uid="{00000000-0005-0000-0000-00002B010000}"/>
    <cellStyle name="Normal 2 3" xfId="37" xr:uid="{00000000-0005-0000-0000-00002C010000}"/>
    <cellStyle name="Normal 2 3 2" xfId="12" xr:uid="{00000000-0005-0000-0000-00002D010000}"/>
    <cellStyle name="Normal 2 3 2 2" xfId="57" xr:uid="{00000000-0005-0000-0000-00002E010000}"/>
    <cellStyle name="Normal 2 3 2 2 4" xfId="376" xr:uid="{00000000-0005-0000-0000-00002F010000}"/>
    <cellStyle name="Normal 2 3 3" xfId="64" xr:uid="{00000000-0005-0000-0000-000030010000}"/>
    <cellStyle name="Normal 2 3 4" xfId="287" xr:uid="{00000000-0005-0000-0000-000031010000}"/>
    <cellStyle name="Normal 2 4" xfId="81" xr:uid="{00000000-0005-0000-0000-000032010000}"/>
    <cellStyle name="Normal 2 4 2" xfId="288" xr:uid="{00000000-0005-0000-0000-000033010000}"/>
    <cellStyle name="Normal 2 5" xfId="283" xr:uid="{00000000-0005-0000-0000-000034010000}"/>
    <cellStyle name="Normal 2 5 2" xfId="373" xr:uid="{00000000-0005-0000-0000-000035010000}"/>
    <cellStyle name="Normal 20" xfId="9" xr:uid="{00000000-0005-0000-0000-000036010000}"/>
    <cellStyle name="Normal 20 2" xfId="289" xr:uid="{00000000-0005-0000-0000-000037010000}"/>
    <cellStyle name="Normal 21" xfId="290" xr:uid="{00000000-0005-0000-0000-000038010000}"/>
    <cellStyle name="Normal 21 2" xfId="291" xr:uid="{00000000-0005-0000-0000-000039010000}"/>
    <cellStyle name="Normal 22" xfId="292" xr:uid="{00000000-0005-0000-0000-00003A010000}"/>
    <cellStyle name="Normal 22 2" xfId="293" xr:uid="{00000000-0005-0000-0000-00003B010000}"/>
    <cellStyle name="Normal 23" xfId="294" xr:uid="{00000000-0005-0000-0000-00003C010000}"/>
    <cellStyle name="Normal 23 2" xfId="295" xr:uid="{00000000-0005-0000-0000-00003D010000}"/>
    <cellStyle name="Normal 24" xfId="296" xr:uid="{00000000-0005-0000-0000-00003E010000}"/>
    <cellStyle name="Normal 24 2" xfId="297" xr:uid="{00000000-0005-0000-0000-00003F010000}"/>
    <cellStyle name="Normal 25" xfId="298" xr:uid="{00000000-0005-0000-0000-000040010000}"/>
    <cellStyle name="Normal 25 2" xfId="299" xr:uid="{00000000-0005-0000-0000-000041010000}"/>
    <cellStyle name="Normal 26" xfId="300" xr:uid="{00000000-0005-0000-0000-000042010000}"/>
    <cellStyle name="Normal 26 2" xfId="301" xr:uid="{00000000-0005-0000-0000-000043010000}"/>
    <cellStyle name="Normal 27" xfId="302" xr:uid="{00000000-0005-0000-0000-000044010000}"/>
    <cellStyle name="Normal 27 2" xfId="303" xr:uid="{00000000-0005-0000-0000-000045010000}"/>
    <cellStyle name="Normal 28" xfId="304" xr:uid="{00000000-0005-0000-0000-000046010000}"/>
    <cellStyle name="Normal 29" xfId="305" xr:uid="{00000000-0005-0000-0000-000047010000}"/>
    <cellStyle name="Normal 3" xfId="16" xr:uid="{00000000-0005-0000-0000-000048010000}"/>
    <cellStyle name="Normal 3 2" xfId="11" xr:uid="{00000000-0005-0000-0000-000049010000}"/>
    <cellStyle name="Normal 30" xfId="94" xr:uid="{00000000-0005-0000-0000-00004A010000}"/>
    <cellStyle name="Normal 30 2" xfId="371" xr:uid="{00000000-0005-0000-0000-00004B010000}"/>
    <cellStyle name="Normal 4" xfId="19" xr:uid="{00000000-0005-0000-0000-00004C010000}"/>
    <cellStyle name="Normal 4 2" xfId="308" xr:uid="{00000000-0005-0000-0000-00004D010000}"/>
    <cellStyle name="Normal 4 2 2" xfId="309" xr:uid="{00000000-0005-0000-0000-00004E010000}"/>
    <cellStyle name="Normal 4 2 2 2" xfId="310" xr:uid="{00000000-0005-0000-0000-00004F010000}"/>
    <cellStyle name="Normal 4 2 2 2 2" xfId="344" xr:uid="{00000000-0005-0000-0000-000050010000}"/>
    <cellStyle name="Normal 4 3" xfId="311" xr:uid="{00000000-0005-0000-0000-000051010000}"/>
    <cellStyle name="Normal 4 3 2" xfId="312" xr:uid="{00000000-0005-0000-0000-000052010000}"/>
    <cellStyle name="Normal 4 4" xfId="313" xr:uid="{00000000-0005-0000-0000-000053010000}"/>
    <cellStyle name="Normal 4 5" xfId="307" xr:uid="{00000000-0005-0000-0000-000054010000}"/>
    <cellStyle name="Normal 4 6" xfId="38" xr:uid="{00000000-0005-0000-0000-000055010000}"/>
    <cellStyle name="Normal 5" xfId="22" xr:uid="{00000000-0005-0000-0000-000056010000}"/>
    <cellStyle name="Normal 5 2" xfId="314" xr:uid="{00000000-0005-0000-0000-000057010000}"/>
    <cellStyle name="Normal 5 2 2" xfId="315" xr:uid="{00000000-0005-0000-0000-000058010000}"/>
    <cellStyle name="Normal 5 2 2 2" xfId="316" xr:uid="{00000000-0005-0000-0000-000059010000}"/>
    <cellStyle name="Normal 5 3" xfId="317" xr:uid="{00000000-0005-0000-0000-00005A010000}"/>
    <cellStyle name="Normal 5 3 2" xfId="318" xr:uid="{00000000-0005-0000-0000-00005B010000}"/>
    <cellStyle name="Normal 5 4" xfId="319" xr:uid="{00000000-0005-0000-0000-00005C010000}"/>
    <cellStyle name="Normal 6" xfId="14" xr:uid="{00000000-0005-0000-0000-00005D010000}"/>
    <cellStyle name="Normal 6 2" xfId="30" xr:uid="{00000000-0005-0000-0000-00005E010000}"/>
    <cellStyle name="Normal 6 3" xfId="320" xr:uid="{00000000-0005-0000-0000-00005F010000}"/>
    <cellStyle name="Normal 7" xfId="321" xr:uid="{00000000-0005-0000-0000-000060010000}"/>
    <cellStyle name="Normal 8" xfId="322" xr:uid="{00000000-0005-0000-0000-000061010000}"/>
    <cellStyle name="Normal 8 2" xfId="323" xr:uid="{00000000-0005-0000-0000-000062010000}"/>
    <cellStyle name="Normal 8 2 2" xfId="324" xr:uid="{00000000-0005-0000-0000-000063010000}"/>
    <cellStyle name="Normal 8 3" xfId="325" xr:uid="{00000000-0005-0000-0000-000064010000}"/>
    <cellStyle name="Normal 8 3 2" xfId="326" xr:uid="{00000000-0005-0000-0000-000065010000}"/>
    <cellStyle name="Normal 8 4" xfId="327" xr:uid="{00000000-0005-0000-0000-000066010000}"/>
    <cellStyle name="Normal 85" xfId="328" xr:uid="{00000000-0005-0000-0000-000067010000}"/>
    <cellStyle name="Normal 9" xfId="329" xr:uid="{00000000-0005-0000-0000-000068010000}"/>
    <cellStyle name="Normal 9 2" xfId="330" xr:uid="{00000000-0005-0000-0000-000069010000}"/>
    <cellStyle name="Normal 9 2 2" xfId="331" xr:uid="{00000000-0005-0000-0000-00006A010000}"/>
    <cellStyle name="Normal 9 3" xfId="332" xr:uid="{00000000-0005-0000-0000-00006B010000}"/>
    <cellStyle name="Normal 9 3 2" xfId="333" xr:uid="{00000000-0005-0000-0000-00006C010000}"/>
    <cellStyle name="Normal 9 4" xfId="334" xr:uid="{00000000-0005-0000-0000-00006D010000}"/>
    <cellStyle name="Normal 90 2" xfId="1" xr:uid="{00000000-0005-0000-0000-00006E010000}"/>
    <cellStyle name="Notas 2" xfId="335" xr:uid="{00000000-0005-0000-0000-00006F010000}"/>
    <cellStyle name="Notas 2 2" xfId="336" xr:uid="{00000000-0005-0000-0000-000070010000}"/>
    <cellStyle name="Notas 2 2 2" xfId="337" xr:uid="{00000000-0005-0000-0000-000071010000}"/>
    <cellStyle name="Notas 2 3" xfId="338" xr:uid="{00000000-0005-0000-0000-000072010000}"/>
    <cellStyle name="Notas 2 3 2" xfId="339" xr:uid="{00000000-0005-0000-0000-000073010000}"/>
    <cellStyle name="Notas 2 4" xfId="340" xr:uid="{00000000-0005-0000-0000-000074010000}"/>
    <cellStyle name="Porcentaje" xfId="368" builtinId="5"/>
    <cellStyle name="Porcentaje 2" xfId="21" xr:uid="{00000000-0005-0000-0000-000076010000}"/>
    <cellStyle name="Porcentaje 2 2" xfId="42" xr:uid="{00000000-0005-0000-0000-000077010000}"/>
    <cellStyle name="Total" xfId="34" builtinId="25" customBuiltin="1"/>
  </cellStyles>
  <dxfs count="16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3354</xdr:colOff>
      <xdr:row>0</xdr:row>
      <xdr:rowOff>-403</xdr:rowOff>
    </xdr:from>
    <xdr:to>
      <xdr:col>1</xdr:col>
      <xdr:colOff>128213</xdr:colOff>
      <xdr:row>4</xdr:row>
      <xdr:rowOff>151787</xdr:rowOff>
    </xdr:to>
    <xdr:pic>
      <xdr:nvPicPr>
        <xdr:cNvPr id="2" name="Imagen 1">
          <a:extLst>
            <a:ext uri="{FF2B5EF4-FFF2-40B4-BE49-F238E27FC236}">
              <a16:creationId xmlns:a16="http://schemas.microsoft.com/office/drawing/2014/main" id="{10567CF6-C03B-41B9-9233-1D7454DA835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54" y="-403"/>
          <a:ext cx="970679" cy="89133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89188</xdr:colOff>
      <xdr:row>0</xdr:row>
      <xdr:rowOff>0</xdr:rowOff>
    </xdr:from>
    <xdr:to>
      <xdr:col>1</xdr:col>
      <xdr:colOff>526472</xdr:colOff>
      <xdr:row>3</xdr:row>
      <xdr:rowOff>87456</xdr:rowOff>
    </xdr:to>
    <xdr:pic>
      <xdr:nvPicPr>
        <xdr:cNvPr id="2" name="Imagen 1">
          <a:extLst>
            <a:ext uri="{FF2B5EF4-FFF2-40B4-BE49-F238E27FC236}">
              <a16:creationId xmlns:a16="http://schemas.microsoft.com/office/drawing/2014/main" id="{2B7585D9-D3F7-4069-A878-EED92B586F5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188" y="0"/>
          <a:ext cx="1601066" cy="863311"/>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3354</xdr:colOff>
      <xdr:row>0</xdr:row>
      <xdr:rowOff>-403</xdr:rowOff>
    </xdr:from>
    <xdr:to>
      <xdr:col>1</xdr:col>
      <xdr:colOff>128213</xdr:colOff>
      <xdr:row>4</xdr:row>
      <xdr:rowOff>138180</xdr:rowOff>
    </xdr:to>
    <xdr:pic>
      <xdr:nvPicPr>
        <xdr:cNvPr id="2" name="Imagen 1">
          <a:extLst>
            <a:ext uri="{FF2B5EF4-FFF2-40B4-BE49-F238E27FC236}">
              <a16:creationId xmlns:a16="http://schemas.microsoft.com/office/drawing/2014/main" id="{348531F6-966F-4150-B32D-1C6604313C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54" y="-403"/>
          <a:ext cx="970679" cy="892963"/>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3354</xdr:colOff>
      <xdr:row>0</xdr:row>
      <xdr:rowOff>-403</xdr:rowOff>
    </xdr:from>
    <xdr:to>
      <xdr:col>1</xdr:col>
      <xdr:colOff>128213</xdr:colOff>
      <xdr:row>4</xdr:row>
      <xdr:rowOff>151787</xdr:rowOff>
    </xdr:to>
    <xdr:pic>
      <xdr:nvPicPr>
        <xdr:cNvPr id="2" name="Imagen 1">
          <a:extLst>
            <a:ext uri="{FF2B5EF4-FFF2-40B4-BE49-F238E27FC236}">
              <a16:creationId xmlns:a16="http://schemas.microsoft.com/office/drawing/2014/main" id="{C4E54A29-4B63-4D5B-A41A-F34F5640F7C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354" y="-403"/>
          <a:ext cx="970679" cy="89133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3354</xdr:colOff>
      <xdr:row>0</xdr:row>
      <xdr:rowOff>-403</xdr:rowOff>
    </xdr:from>
    <xdr:to>
      <xdr:col>1</xdr:col>
      <xdr:colOff>132023</xdr:colOff>
      <xdr:row>4</xdr:row>
      <xdr:rowOff>151787</xdr:rowOff>
    </xdr:to>
    <xdr:pic>
      <xdr:nvPicPr>
        <xdr:cNvPr id="2" name="Imagen 1">
          <a:extLst>
            <a:ext uri="{FF2B5EF4-FFF2-40B4-BE49-F238E27FC236}">
              <a16:creationId xmlns:a16="http://schemas.microsoft.com/office/drawing/2014/main" id="{A18A178E-78D0-4250-8803-189ABC5F1D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54" y="-403"/>
          <a:ext cx="974489" cy="89133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3354</xdr:colOff>
      <xdr:row>0</xdr:row>
      <xdr:rowOff>-403</xdr:rowOff>
    </xdr:from>
    <xdr:to>
      <xdr:col>1</xdr:col>
      <xdr:colOff>128213</xdr:colOff>
      <xdr:row>4</xdr:row>
      <xdr:rowOff>151787</xdr:rowOff>
    </xdr:to>
    <xdr:pic>
      <xdr:nvPicPr>
        <xdr:cNvPr id="2" name="Imagen 1">
          <a:extLst>
            <a:ext uri="{FF2B5EF4-FFF2-40B4-BE49-F238E27FC236}">
              <a16:creationId xmlns:a16="http://schemas.microsoft.com/office/drawing/2014/main" id="{B064BFE2-AF90-4C6E-86EE-E90839D3974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54" y="-403"/>
          <a:ext cx="944009" cy="90466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3354</xdr:colOff>
      <xdr:row>0</xdr:row>
      <xdr:rowOff>-403</xdr:rowOff>
    </xdr:from>
    <xdr:to>
      <xdr:col>1</xdr:col>
      <xdr:colOff>128213</xdr:colOff>
      <xdr:row>4</xdr:row>
      <xdr:rowOff>151787</xdr:rowOff>
    </xdr:to>
    <xdr:pic>
      <xdr:nvPicPr>
        <xdr:cNvPr id="2" name="Imagen 1">
          <a:extLst>
            <a:ext uri="{FF2B5EF4-FFF2-40B4-BE49-F238E27FC236}">
              <a16:creationId xmlns:a16="http://schemas.microsoft.com/office/drawing/2014/main" id="{1087D251-A80B-4FFC-99D7-EB65D75E370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54" y="-403"/>
          <a:ext cx="970679" cy="89133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467698</xdr:colOff>
      <xdr:row>0</xdr:row>
      <xdr:rowOff>106753</xdr:rowOff>
    </xdr:from>
    <xdr:to>
      <xdr:col>1</xdr:col>
      <xdr:colOff>592557</xdr:colOff>
      <xdr:row>5</xdr:row>
      <xdr:rowOff>80349</xdr:rowOff>
    </xdr:to>
    <xdr:pic>
      <xdr:nvPicPr>
        <xdr:cNvPr id="2" name="Imagen 1">
          <a:extLst>
            <a:ext uri="{FF2B5EF4-FFF2-40B4-BE49-F238E27FC236}">
              <a16:creationId xmlns:a16="http://schemas.microsoft.com/office/drawing/2014/main" id="{BCA2E2AB-3111-4F63-897A-4B8E8381526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7698" y="106753"/>
          <a:ext cx="944009" cy="907046"/>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3354</xdr:colOff>
      <xdr:row>0</xdr:row>
      <xdr:rowOff>-403</xdr:rowOff>
    </xdr:from>
    <xdr:to>
      <xdr:col>1</xdr:col>
      <xdr:colOff>128213</xdr:colOff>
      <xdr:row>4</xdr:row>
      <xdr:rowOff>151787</xdr:rowOff>
    </xdr:to>
    <xdr:pic>
      <xdr:nvPicPr>
        <xdr:cNvPr id="2" name="Imagen 1">
          <a:extLst>
            <a:ext uri="{FF2B5EF4-FFF2-40B4-BE49-F238E27FC236}">
              <a16:creationId xmlns:a16="http://schemas.microsoft.com/office/drawing/2014/main" id="{9A8E4304-1978-4A2B-AC54-96CA5B7595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54" y="-403"/>
          <a:ext cx="970679" cy="89133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123825</xdr:colOff>
      <xdr:row>0</xdr:row>
      <xdr:rowOff>0</xdr:rowOff>
    </xdr:from>
    <xdr:to>
      <xdr:col>1</xdr:col>
      <xdr:colOff>293914</xdr:colOff>
      <xdr:row>4</xdr:row>
      <xdr:rowOff>121557</xdr:rowOff>
    </xdr:to>
    <xdr:pic>
      <xdr:nvPicPr>
        <xdr:cNvPr id="2" name="Imagen 1">
          <a:extLst>
            <a:ext uri="{FF2B5EF4-FFF2-40B4-BE49-F238E27FC236}">
              <a16:creationId xmlns:a16="http://schemas.microsoft.com/office/drawing/2014/main" id="{1463871F-1665-4B5D-BDA2-8ED72B43ADB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0"/>
          <a:ext cx="962569" cy="893717"/>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940253</xdr:colOff>
      <xdr:row>5</xdr:row>
      <xdr:rowOff>17690</xdr:rowOff>
    </xdr:to>
    <xdr:pic>
      <xdr:nvPicPr>
        <xdr:cNvPr id="2" name="Imagen 1">
          <a:extLst>
            <a:ext uri="{FF2B5EF4-FFF2-40B4-BE49-F238E27FC236}">
              <a16:creationId xmlns:a16="http://schemas.microsoft.com/office/drawing/2014/main" id="{BCF69DE5-3B45-46CF-9967-F916CF1E034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40253" cy="876572"/>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689882</xdr:colOff>
      <xdr:row>0</xdr:row>
      <xdr:rowOff>53068</xdr:rowOff>
    </xdr:from>
    <xdr:ext cx="945696" cy="898071"/>
    <xdr:pic>
      <xdr:nvPicPr>
        <xdr:cNvPr id="2" name="Imagen 1">
          <a:extLst>
            <a:ext uri="{FF2B5EF4-FFF2-40B4-BE49-F238E27FC236}">
              <a16:creationId xmlns:a16="http://schemas.microsoft.com/office/drawing/2014/main" id="{C22CD5C6-A030-4316-AC03-BEF36BA0D7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9882" y="53068"/>
          <a:ext cx="945696" cy="898071"/>
        </a:xfrm>
        <a:prstGeom prst="rect">
          <a:avLst/>
        </a:prstGeom>
        <a:noFill/>
        <a:ln>
          <a:noFill/>
        </a:ln>
      </xdr:spPr>
    </xdr:pic>
    <xdr:clientData/>
  </xdr:oneCellAnchor>
  <xdr:twoCellAnchor editAs="oneCell">
    <xdr:from>
      <xdr:col>16</xdr:col>
      <xdr:colOff>447674</xdr:colOff>
      <xdr:row>41</xdr:row>
      <xdr:rowOff>137338</xdr:rowOff>
    </xdr:from>
    <xdr:to>
      <xdr:col>17</xdr:col>
      <xdr:colOff>1373504</xdr:colOff>
      <xdr:row>48</xdr:row>
      <xdr:rowOff>150284</xdr:rowOff>
    </xdr:to>
    <xdr:pic>
      <xdr:nvPicPr>
        <xdr:cNvPr id="3" name="Imagen 2">
          <a:extLst>
            <a:ext uri="{FF2B5EF4-FFF2-40B4-BE49-F238E27FC236}">
              <a16:creationId xmlns:a16="http://schemas.microsoft.com/office/drawing/2014/main" id="{1853795E-720F-4D08-99D9-3C0A613C08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28694" y="29398138"/>
          <a:ext cx="1945005" cy="12931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3354</xdr:colOff>
      <xdr:row>0</xdr:row>
      <xdr:rowOff>-403</xdr:rowOff>
    </xdr:from>
    <xdr:to>
      <xdr:col>1</xdr:col>
      <xdr:colOff>128213</xdr:colOff>
      <xdr:row>4</xdr:row>
      <xdr:rowOff>151787</xdr:rowOff>
    </xdr:to>
    <xdr:pic>
      <xdr:nvPicPr>
        <xdr:cNvPr id="2" name="Imagen 1">
          <a:extLst>
            <a:ext uri="{FF2B5EF4-FFF2-40B4-BE49-F238E27FC236}">
              <a16:creationId xmlns:a16="http://schemas.microsoft.com/office/drawing/2014/main" id="{30E015D1-A01B-45A1-8897-E7298C27FA4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54" y="-403"/>
          <a:ext cx="970679" cy="89133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651054</xdr:colOff>
      <xdr:row>0</xdr:row>
      <xdr:rowOff>-403</xdr:rowOff>
    </xdr:from>
    <xdr:to>
      <xdr:col>1</xdr:col>
      <xdr:colOff>775913</xdr:colOff>
      <xdr:row>4</xdr:row>
      <xdr:rowOff>151787</xdr:rowOff>
    </xdr:to>
    <xdr:pic>
      <xdr:nvPicPr>
        <xdr:cNvPr id="3" name="Imagen 1">
          <a:extLst>
            <a:ext uri="{FF2B5EF4-FFF2-40B4-BE49-F238E27FC236}">
              <a16:creationId xmlns:a16="http://schemas.microsoft.com/office/drawing/2014/main" id="{DB5F6CE4-F871-4ACB-BA28-FE856FD15A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1054" y="-403"/>
          <a:ext cx="944009" cy="90466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AUXPLANEACION18/Google%20Drive/VIGENCIA%202021/CLASIFICADOR%20NOV/CAT&#193;LOGO%20DE%20PRODUCT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BPI\CAPACITACI&#211;N%20SPIIP\2020\Cat&#225;logo%20de%20Productos\CAT&#193;LOGOS%20ANTERIORES\CARGADOS%20MGA\CAT&#193;LOGO%20MGA%2001_%202701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IDADES"/>
      <sheetName val="SECTORES"/>
      <sheetName val="SECTORES,PROGRAMAS Y SUBPROGRAM"/>
      <sheetName val="CATÁLOGO DE PRODUCTOS"/>
      <sheetName val="INSUMOS CADENA VALOR"/>
      <sheetName val="INDICADORES GESTION"/>
      <sheetName val="FUENTES FINANCIACION"/>
      <sheetName val="INGRESOS BENEFICIOS"/>
      <sheetName val="DEPRECIACION"/>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idades territoriales"/>
      <sheetName val="Sectores y Programas"/>
      <sheetName val="Catálogo productos "/>
      <sheetName val="Insumos cadena de valor"/>
      <sheetName val="Indicadores de gestión"/>
      <sheetName val="Fuente de financiación"/>
      <sheetName val="Ingresos y Beneficios"/>
      <sheetName val="Depreciación"/>
      <sheetName val="CATÁLOGO MGA 01_ 270120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persons/person.xml><?xml version="1.0" encoding="utf-8"?>
<personList xmlns="http://schemas.microsoft.com/office/spreadsheetml/2018/threadedcomments" xmlns:x="http://schemas.openxmlformats.org/spreadsheetml/2006/main">
  <person displayName="Usuario invitado" id="{68794FB4-DF43-4D55-BF4D-33287E9AE6A0}" userId="" providerId="Windows Live"/>
  <person displayName="gobernación quindio Quindío" id="{5BEB30C7-49E5-4A2B-8017-89B48CEA3826}" userId="1c0fbb59ec2923d2"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R10" dT="2026-01-09T19:34:26.67" personId="{68794FB4-DF43-4D55-BF4D-33287E9AE6A0}" id="{BB141960-3289-40F6-A7B0-6E39101B12AB}">
    <text>PP    VALOR 
1227   14.800.000</text>
  </threadedComment>
  <threadedComment ref="R11" dT="2026-01-06T22:25:38.95" personId="{68794FB4-DF43-4D55-BF4D-33287E9AE6A0}" id="{05BFA245-48A6-4924-8AB4-14762EAC1337}">
    <text>PP                      VALOR
831             14.800.000
1223       14.800.000</text>
  </threadedComment>
  <threadedComment ref="R12" dT="2026-01-07T22:54:57.23" personId="{68794FB4-DF43-4D55-BF4D-33287E9AE6A0}" id="{08473922-B3C2-47B6-85E6-611D6ED5B927}">
    <text>881     16.000.000</text>
  </threadedComment>
  <threadedComment ref="R13" dT="2026-01-06T22:20:07.82" personId="{68794FB4-DF43-4D55-BF4D-33287E9AE6A0}" id="{E54DD693-4306-462B-91A4-91BE05116524}">
    <text>PP          VALOR
826        16.000.000</text>
  </threadedComment>
  <threadedComment ref="R14" dT="2026-01-06T22:03:35.30" personId="{68794FB4-DF43-4D55-BF4D-33287E9AE6A0}" id="{FCA41386-AC23-4B57-82A6-709804FE5B23}">
    <text>PP         VALOR
834       14.800.000
1148      16.000.000</text>
  </threadedComment>
  <threadedComment ref="R15" dT="2026-01-08T21:31:21.70" personId="{68794FB4-DF43-4D55-BF4D-33287E9AE6A0}" id="{4E96DC72-B324-45B6-B8F2-C654971560F8}">
    <text>PP                 VALOR
1151           14.800.000
1153             9.600.000</text>
  </threadedComment>
  <threadedComment ref="R22" dT="2026-01-06T22:41:53.98" personId="{68794FB4-DF43-4D55-BF4D-33287E9AE6A0}" id="{7BCA245B-F789-44B3-A20F-716CB995C901}">
    <text>PP                  VALOR
801              5.000.000</text>
  </threadedComment>
  <threadedComment ref="R23" dT="2026-01-06T21:55:46.80" personId="{68794FB4-DF43-4D55-BF4D-33287E9AE6A0}" id="{1E92D683-EA16-413A-9022-EAE127942344}">
    <text>PP837                $14.800.000</text>
  </threadedComment>
</ThreadedComments>
</file>

<file path=xl/threadedComments/threadedComment10.xml><?xml version="1.0" encoding="utf-8"?>
<ThreadedComments xmlns="http://schemas.microsoft.com/office/spreadsheetml/2018/threadedcomments" xmlns:x="http://schemas.openxmlformats.org/spreadsheetml/2006/main">
  <threadedComment ref="R12" dT="2026-01-09T14:15:58.50" personId="{68794FB4-DF43-4D55-BF4D-33287E9AE6A0}" id="{79577402-54A7-4B9B-A230-298204CEB764}">
    <text>PP           3.000000</text>
  </threadedComment>
  <threadedComment ref="R13" dT="2026-01-06T17:17:18.29" personId="{68794FB4-DF43-4D55-BF4D-33287E9AE6A0}" id="{BFB65A18-99A5-435A-B08A-F3A8E6145026}">
    <text>PP   VALOR
845   8.000.000
891  7.400.000
966  8.000.000</text>
  </threadedComment>
  <threadedComment ref="R13" dT="2026-01-09T21:21:38.31" personId="{68794FB4-DF43-4D55-BF4D-33287E9AE6A0}" id="{A467A91C-215D-406E-A05E-1E3A5BC26B36}" parentId="{BFB65A18-99A5-435A-B08A-F3A8E6145026}">
    <text>1219     6.000.000</text>
  </threadedComment>
  <threadedComment ref="R13" dT="2026-01-14T14:02:52.21" personId="{68794FB4-DF43-4D55-BF4D-33287E9AE6A0}" id="{7D19D25C-2C68-4F43-B51B-25FB1FC88926}" parentId="{BFB65A18-99A5-435A-B08A-F3A8E6145026}">
    <text>1462      6.000.000</text>
  </threadedComment>
  <threadedComment ref="R20" dT="2026-01-13T14:34:52.00" personId="{68794FB4-DF43-4D55-BF4D-33287E9AE6A0}" id="{D25520DF-0234-4729-B898-D02902C1DD24}">
    <text>PP                VALOR
1324          4.000.000</text>
  </threadedComment>
  <threadedComment ref="R23" dT="2026-01-13T20:37:50.40" personId="{5BEB30C7-49E5-4A2B-8017-89B48CEA3826}" id="{D07FB1C3-9997-495D-AF30-246643623DF9}">
    <text xml:space="preserve">   PP    VALOR
1336    7.400.000</text>
  </threadedComment>
  <threadedComment ref="R24" dT="2026-01-09T21:27:53.04" personId="{68794FB4-DF43-4D55-BF4D-33287E9AE6A0}" id="{23C2CA2A-82E2-4C32-899C-6F7B3454FDC8}">
    <text>PP             VALOR
1219            5.000.000
1330            2.500.000</text>
  </threadedComment>
  <threadedComment ref="R24" dT="2026-01-13T21:59:41.40" personId="{68794FB4-DF43-4D55-BF4D-33287E9AE6A0}" id="{ADA34C07-DCAE-4BC4-9B48-90A64262CB56}" parentId="{23C2CA2A-82E2-4C32-899C-6F7B3454FDC8}">
    <text>1361          2.500.000</text>
  </threadedComment>
  <threadedComment ref="R24" dT="2026-01-14T14:06:14.23" personId="{68794FB4-DF43-4D55-BF4D-33287E9AE6A0}" id="{10580DEF-DA35-464B-A0DA-407660194EA7}" parentId="{23C2CA2A-82E2-4C32-899C-6F7B3454FDC8}">
    <text>1462        5.000.000</text>
  </threadedComment>
  <threadedComment ref="R25" dT="2026-01-13T20:38:34.66" personId="{5BEB30C7-49E5-4A2B-8017-89B48CEA3826}" id="{53B4DF0F-0214-4EEE-B5FA-E583098449A2}">
    <text xml:space="preserve">  PP      VALOR
1336    7.400.000</text>
  </threadedComment>
  <threadedComment ref="R30" dT="2026-01-09T15:35:16.30" personId="{68794FB4-DF43-4D55-BF4D-33287E9AE6A0}" id="{E76E2A0E-C9B9-4D86-8F7C-3BB63A0B65EE}">
    <text>PP     VALOR 
1088   7.400.000</text>
  </threadedComment>
  <threadedComment ref="R30" dT="2026-01-09T15:49:04.69" personId="{68794FB4-DF43-4D55-BF4D-33287E9AE6A0}" id="{98C088CE-4C31-4E9C-B9EB-248ED454DEAB}" parentId="{E76E2A0E-C9B9-4D86-8F7C-3BB63A0B65EE}">
    <text>1195           16.600.000
1313     7.400.000</text>
  </threadedComment>
  <threadedComment ref="R32" dT="2026-01-06T17:18:27.98" personId="{68794FB4-DF43-4D55-BF4D-33287E9AE6A0}" id="{F7F769D9-4240-4032-9990-4A870373F1DB}">
    <text>PP   VALOR
845   4.000.000
891   3.400.000
1092    5.000.000
1330   6.500.000</text>
  </threadedComment>
  <threadedComment ref="R32" dT="2026-01-13T22:03:24.97" personId="{68794FB4-DF43-4D55-BF4D-33287E9AE6A0}" id="{91C01782-08A6-4F4E-802D-EC940EF27594}" parentId="{F7F769D9-4240-4032-9990-4A870373F1DB}">
    <text>1361        6.500.000</text>
  </threadedComment>
  <threadedComment ref="R33" dT="2026-01-13T19:58:59.45" personId="{5BEB30C7-49E5-4A2B-8017-89B48CEA3826}" id="{F743CFD7-FC25-4077-85DF-CDFB15000BC9}">
    <text xml:space="preserve"> PP       VALOR
1330   4.500.000</text>
  </threadedComment>
  <threadedComment ref="R33" dT="2026-01-13T22:05:38.75" personId="{68794FB4-DF43-4D55-BF4D-33287E9AE6A0}" id="{0C1DC376-DAA1-4D51-A997-7BC9759FD71A}" parentId="{F743CFD7-FC25-4077-85DF-CDFB15000BC9}">
    <text>1361      4.500.000</text>
  </threadedComment>
  <threadedComment ref="R34" dT="2026-01-13T20:00:12.59" personId="{5BEB30C7-49E5-4A2B-8017-89B48CEA3826}" id="{B5A8D8D3-D88A-4D1C-A206-3AAF80188241}">
    <text xml:space="preserve">  PP    VALOR
1330   2.500.000</text>
  </threadedComment>
  <threadedComment ref="R34" dT="2026-01-13T22:07:18.42" personId="{68794FB4-DF43-4D55-BF4D-33287E9AE6A0}" id="{73081812-1953-4BDF-8012-963D7EA2DB92}" parentId="{B5A8D8D3-D88A-4D1C-A206-3AAF80188241}">
    <text>1361      2.500.000</text>
  </threadedComment>
  <threadedComment ref="R63" dT="2026-01-09T16:09:21.52" personId="{68794FB4-DF43-4D55-BF4D-33287E9AE6A0}" id="{08CE3E96-CD9D-49C4-93AC-378DFD9B8E7F}">
    <text>PP    VALOR 
1092     3.000.000
1313     7.400.000
1351     14.800.000</text>
  </threadedComment>
  <threadedComment ref="R87" dT="2026-01-13T14:37:44.93" personId="{68794FB4-DF43-4D55-BF4D-33287E9AE6A0}" id="{9915C81F-15E8-4E63-A604-2E88AD7C6199}">
    <text>PP          VALOR
1324       3.000.000</text>
  </threadedComment>
  <threadedComment ref="R89" dT="2026-01-07T22:09:04.18" personId="{68794FB4-DF43-4D55-BF4D-33287E9AE6A0}" id="{1D4A6570-6371-4B7D-8EC0-7F806F6390B2}">
    <text xml:space="preserve">PP    VALOR 
</text>
  </threadedComment>
  <threadedComment ref="R89" dT="2026-01-08T21:33:06.10" personId="{68794FB4-DF43-4D55-BF4D-33287E9AE6A0}" id="{767D1007-B141-441C-A922-29C703A00255}" parentId="{1D4A6570-6371-4B7D-8EC0-7F806F6390B2}">
    <text>812           6.800.000
1092     3.000.000</text>
  </threadedComment>
  <threadedComment ref="R89" dT="2026-01-13T14:40:08.27" personId="{68794FB4-DF43-4D55-BF4D-33287E9AE6A0}" id="{5E224E63-9AA9-42F7-A8C4-75D949CD686A}" parentId="{1D4A6570-6371-4B7D-8EC0-7F806F6390B2}">
    <text>1324        2.200.000
1334        7.800.000</text>
  </threadedComment>
  <threadedComment ref="R90" dT="2026-01-08T21:35:37.76" personId="{68794FB4-DF43-4D55-BF4D-33287E9AE6A0}" id="{7642983F-396B-4D97-9A43-CB15B1750987}">
    <text>PP          VALOR
812         8.000.000
1334       7.000.000</text>
  </threadedComment>
  <threadedComment ref="R105" dT="2026-01-07T13:29:53.12" personId="{5BEB30C7-49E5-4A2B-8017-89B48CEA3826}" id="{8032BBFB-CCBE-4205-B4C3-4272725C4A73}">
    <text>PP       VALOR
966    $4.000.000</text>
  </threadedComment>
  <threadedComment ref="R105" dT="2026-01-09T14:42:10.56" personId="{68794FB4-DF43-4D55-BF4D-33287E9AE6A0}" id="{F223FBC3-035F-45D5-9008-AD51A4E73B97}" parentId="{8032BBFB-CCBE-4205-B4C3-4272725C4A73}">
    <text>1199       8.000.000</text>
  </threadedComment>
  <threadedComment ref="R111" dT="2026-01-13T20:20:47.46" personId="{68794FB4-DF43-4D55-BF4D-33287E9AE6A0}" id="{6887688D-E366-4E1C-92B8-E28CC9729E5C}">
    <text>PP     VALOR 
1317    6.000.000
1345    8.800.000</text>
  </threadedComment>
  <threadedComment ref="R112" dT="2026-01-13T20:21:19.79" personId="{68794FB4-DF43-4D55-BF4D-33287E9AE6A0}" id="{518EB16F-3808-4D8A-A9B4-F8BC809C7EE9}">
    <text>PP    VALOR 
1317   4.000.000</text>
  </threadedComment>
  <threadedComment ref="R115" dT="2026-01-13T20:22:04.51" personId="{68794FB4-DF43-4D55-BF4D-33287E9AE6A0}" id="{D67A9C41-27A1-4880-B7C3-1AD04ED99BF7}">
    <text>PP   VALOR 
1317    2.000.000
1345    3.000.000</text>
  </threadedComment>
  <threadedComment ref="R116" dT="2026-01-13T22:07:31.21" personId="{68794FB4-DF43-4D55-BF4D-33287E9AE6A0}" id="{CEFC8CDC-A3A0-422A-B37C-ACD8FC0CFEA5}">
    <text>1345    3.000.000</text>
  </threadedComment>
  <threadedComment ref="R122" dT="2026-01-09T22:01:04.65" personId="{5BEB30C7-49E5-4A2B-8017-89B48CEA3826}" id="{DFDEE06F-B502-4331-8EFC-F6070E93D5D5}">
    <text>PP          VALOR
1210      2.000.000</text>
  </threadedComment>
  <threadedComment ref="R122" dT="2026-01-13T15:47:23.63" personId="{68794FB4-DF43-4D55-BF4D-33287E9AE6A0}" id="{EBE84044-5088-461D-994E-8E51621B2453}" parentId="{DFDEE06F-B502-4331-8EFC-F6070E93D5D5}">
    <text>1329     4.500.000
1338     3.500.000</text>
  </threadedComment>
  <threadedComment ref="R123" dT="2026-01-13T15:49:33.37" personId="{68794FB4-DF43-4D55-BF4D-33287E9AE6A0}" id="{AEA385D7-8900-42CE-9B8D-313BF4F3F8C1}">
    <text>PP          VALOR
1329      2.000.000
1338      2.000.000</text>
  </threadedComment>
  <threadedComment ref="R127" dT="2026-01-09T22:01:30.22" personId="{5BEB30C7-49E5-4A2B-8017-89B48CEA3826}" id="{671FAC11-45F0-4958-AABA-31FF27332BC3}">
    <text>PP          VALOR
1210      3.000.000</text>
  </threadedComment>
  <threadedComment ref="R128" dT="2026-01-06T17:17:58.27" personId="{68794FB4-DF43-4D55-BF4D-33287E9AE6A0}" id="{4C3C1292-1547-4B23-B37D-C20E2A7D9863}">
    <text>PP   VLOR 
845   4.000.000
891   4.000.000
966   4.000.000
1210 9.800.000</text>
  </threadedComment>
  <threadedComment ref="R128" dT="2026-01-08T14:25:10.39" personId="{68794FB4-DF43-4D55-BF4D-33287E9AE6A0}" id="{9DEA16A3-9476-4361-B981-3675A4749215}" parentId="{4C3C1292-1547-4B23-B37D-C20E2A7D9863}">
    <text>924   60.000.000
1092    5.000.000</text>
  </threadedComment>
  <threadedComment ref="R128" dT="2026-01-09T21:29:58.61" personId="{68794FB4-DF43-4D55-BF4D-33287E9AE6A0}" id="{CB97E711-68B6-47C6-BCCF-44F9761F9F44}" parentId="{4C3C1292-1547-4B23-B37D-C20E2A7D9863}">
    <text>1219       5.000.000</text>
  </threadedComment>
  <threadedComment ref="R128" dT="2026-01-13T15:51:09.13" personId="{68794FB4-DF43-4D55-BF4D-33287E9AE6A0}" id="{7F1CF1FF-147B-4B62-8C1D-6FC946827C94}" parentId="{4C3C1292-1547-4B23-B37D-C20E2A7D9863}">
    <text>1329      8.300.000
1338     5.300.000</text>
  </threadedComment>
  <threadedComment ref="R128" dT="2026-01-14T14:08:51.00" personId="{68794FB4-DF43-4D55-BF4D-33287E9AE6A0}" id="{2AA7A380-02D8-4A94-B3CD-6D653DFDB25D}" parentId="{4C3C1292-1547-4B23-B37D-C20E2A7D9863}">
    <text>1462       5.000.000</text>
  </threadedComment>
  <threadedComment ref="R130" dT="2026-01-08T17:38:45.42" personId="{68794FB4-DF43-4D55-BF4D-33287E9AE6A0}" id="{EC9D54E9-D71B-4698-B88D-4BBF2B33F091}">
    <text>PP      VLR
100   60.000.000</text>
  </threadedComment>
  <threadedComment ref="R138" dT="2026-01-06T17:18:54.57" personId="{68794FB4-DF43-4D55-BF4D-33287E9AE6A0}" id="{5B16CA55-09C8-4AB2-BF4A-412E4D953D62}">
    <text>PP    VALOR 
845    4.000.000
966    4.000.000
1348  16.000.000</text>
  </threadedComment>
  <threadedComment ref="R138" dT="2026-01-09T14:44:12.25" personId="{68794FB4-DF43-4D55-BF4D-33287E9AE6A0}" id="{17E4114E-566D-4785-A0E0-5BC8505B6749}" parentId="{5B16CA55-09C8-4AB2-BF4A-412E4D953D62}">
    <text>1199       3.800.000</text>
  </threadedComment>
</ThreadedComments>
</file>

<file path=xl/threadedComments/threadedComment11.xml><?xml version="1.0" encoding="utf-8"?>
<ThreadedComments xmlns="http://schemas.microsoft.com/office/spreadsheetml/2018/threadedcomments" xmlns:x="http://schemas.openxmlformats.org/spreadsheetml/2006/main">
  <threadedComment ref="R10" dT="2026-01-13T21:06:56.67" personId="{5BEB30C7-49E5-4A2B-8017-89B48CEA3826}" id="{0A6EE948-EF48-4914-8A6B-DFA2AB94F2DA}">
    <text xml:space="preserve">  PP   VALOR
456   1.000.000
</text>
  </threadedComment>
  <threadedComment ref="R10" dT="2026-01-14T15:11:51.05" personId="{68794FB4-DF43-4D55-BF4D-33287E9AE6A0}" id="{F4AD7896-99AE-4E2A-8F20-B730789D6B5F}" parentId="{0A6EE948-EF48-4914-8A6B-DFA2AB94F2DA}">
    <text>1126          8.800.000</text>
  </threadedComment>
  <threadedComment ref="R15" dT="2026-01-13T22:17:26.93" personId="{68794FB4-DF43-4D55-BF4D-33287E9AE6A0}" id="{77DAC96A-4EC8-4E09-B019-D62FF4D55DD8}">
    <text>PP                      VALOR
1194                    14.800.000</text>
  </threadedComment>
  <threadedComment ref="R16" dT="2026-01-13T16:29:36.33" personId="{68794FB4-DF43-4D55-BF4D-33287E9AE6A0}" id="{810168E6-417F-4874-9D9E-A5F2F50F9076}">
    <text>PP           VALOR
899          14.800.000</text>
  </threadedComment>
  <threadedComment ref="R19" dT="2026-01-13T21:08:48.93" personId="{5BEB30C7-49E5-4A2B-8017-89B48CEA3826}" id="{947FA226-728D-47E0-8EDC-0B1FD7B087DD}">
    <text xml:space="preserve"> PP   VALOR
1093 14.800.000
569   14.800.000
456  15.000.000
524   14.800.000</text>
  </threadedComment>
  <threadedComment ref="R19" dT="2026-01-14T15:13:57.12" personId="{68794FB4-DF43-4D55-BF4D-33287E9AE6A0}" id="{5442D5AE-1E70-4FCE-AFAB-2FD6DB517BC5}" parentId="{947FA226-728D-47E0-8EDC-0B1FD7B087DD}">
    <text>1126       6.000.000</text>
  </threadedComment>
  <threadedComment ref="R20" dT="2026-01-13T21:22:17.09" personId="{68794FB4-DF43-4D55-BF4D-33287E9AE6A0}" id="{77147615-632C-494F-9726-254BB230E640}">
    <text>PP             VALOR
1305      14.800.000
582        14.800.000</text>
  </threadedComment>
  <threadedComment ref="R20" dT="2026-01-14T14:29:39.38" personId="{68794FB4-DF43-4D55-BF4D-33287E9AE6A0}" id="{6268D32A-D061-444B-8F9C-C55E84E6B48D}" parentId="{77147615-632C-494F-9726-254BB230E640}">
    <text>1301        14.800.000</text>
  </threadedComment>
  <threadedComment ref="R22" dT="2026-01-13T21:31:38.83" personId="{68794FB4-DF43-4D55-BF4D-33287E9AE6A0}" id="{BC1ED8C0-AB79-429E-8527-986E159CF8CC}">
    <text>PP       VALOR
1237     11.600.000
1221     17.550.000
1358     17.550.000
535       15.600.000</text>
  </threadedComment>
  <threadedComment ref="R23" dT="2026-01-14T16:13:12.39" personId="{68794FB4-DF43-4D55-BF4D-33287E9AE6A0}" id="{DD98E096-B7E6-4BB9-88F6-0FFB5BC71734}">
    <text>1343      16.000.000</text>
  </threadedComment>
  <threadedComment ref="R25" dT="2026-01-14T14:16:14.47" personId="{68794FB4-DF43-4D55-BF4D-33287E9AE6A0}" id="{29B4363C-5C05-479B-A260-649C29DCA29B}">
    <text>1233   14.800.000</text>
  </threadedComment>
  <threadedComment ref="R27" dT="2026-01-13T16:44:39.42" personId="{5BEB30C7-49E5-4A2B-8017-89B48CEA3826}" id="{DE4AF00F-ACD0-4ACB-A9C8-30DA9E96E9EF}">
    <text>PP    VALOR
210  20.000.000
385  24.000.000
825  24.000.000
1242 14.800.000
905   24.000.000</text>
  </threadedComment>
  <threadedComment ref="R27" dT="2026-01-13T20:11:51.35" personId="{68794FB4-DF43-4D55-BF4D-33287E9AE6A0}" id="{4A04A2F8-E357-40E5-A8E0-066191F19615}" parentId="{DE4AF00F-ACD0-4ACB-A9C8-30DA9E96E9EF}">
    <text>1247       24.000.000</text>
  </threadedComment>
  <threadedComment ref="R29" dT="2026-01-13T17:52:12.57" personId="{5BEB30C7-49E5-4A2B-8017-89B48CEA3826}" id="{85B5BA31-84D4-4A94-9F29-8683E45AE2E3}">
    <text>PP     VALOR
772    12.000.000</text>
  </threadedComment>
  <threadedComment ref="R29" dT="2026-01-13T21:42:46.74" personId="{68794FB4-DF43-4D55-BF4D-33287E9AE6A0}" id="{E89720BA-F4B2-444A-9DCA-D8472085A8B2}" parentId="{85B5BA31-84D4-4A94-9F29-8683E45AE2E3}">
    <text>395       10.800.000</text>
  </threadedComment>
  <threadedComment ref="R29" dT="2026-01-14T14:19:24.00" personId="{68794FB4-DF43-4D55-BF4D-33287E9AE6A0}" id="{4D3EE127-9D80-41E2-AD6C-60F8C102D27A}" parentId="{85B5BA31-84D4-4A94-9F29-8683E45AE2E3}">
    <text>1225       12.000.000
1350       12.000.000</text>
  </threadedComment>
  <threadedComment ref="R32" dT="2026-01-14T15:51:26.69" personId="{68794FB4-DF43-4D55-BF4D-33287E9AE6A0}" id="{C7CFC72B-4912-4C83-B8A8-96E640A0A128}">
    <text>1241       14.800.000
783         14.800.000</text>
  </threadedComment>
  <threadedComment ref="R33" dT="2026-01-14T15:49:04.75" personId="{68794FB4-DF43-4D55-BF4D-33287E9AE6A0}" id="{0C98CF48-4576-42AA-96C2-F814DA92A9C0}">
    <text>1239       14.800.000</text>
  </threadedComment>
  <threadedComment ref="R34" dT="2026-01-13T19:46:02.24" personId="{5BEB30C7-49E5-4A2B-8017-89B48CEA3826}" id="{73CEEB0A-7D88-42C3-9D7D-73BF956F9625}">
    <text xml:space="preserve">   PP     VALOR
864     10.800.000</text>
  </threadedComment>
  <threadedComment ref="R40" dT="2026-01-13T20:42:44.19" personId="{5BEB30C7-49E5-4A2B-8017-89B48CEA3826}" id="{70335B00-30DD-4ADA-BC91-5802EA9B3BDF}">
    <text>PP    VALOR
662   14.800.000
895   14.800.000
871    10.800.000
466    14.800.000</text>
  </threadedComment>
  <threadedComment ref="R41" dT="2026-01-13T18:14:45.24" personId="{5BEB30C7-49E5-4A2B-8017-89B48CEA3826}" id="{80A76A43-4DE6-4458-B4B9-3300BA24A8A2}">
    <text>PP      VALOR
725    16.000.000</text>
  </threadedComment>
  <threadedComment ref="R42" dT="2026-01-14T15:53:59.28" personId="{68794FB4-DF43-4D55-BF4D-33287E9AE6A0}" id="{E50B8D06-8307-4A04-BD4C-B1905630D2A6}">
    <text>1243      16.000.000</text>
  </threadedComment>
  <threadedComment ref="R134" dT="2026-01-13T18:24:04.69" personId="{5BEB30C7-49E5-4A2B-8017-89B48CEA3826}" id="{C49836D4-05FB-40B5-A5AA-56CEE3D9145C}">
    <text>PP    VALOR
796  14.800.000</text>
  </threadedComment>
  <threadedComment ref="R134" dT="2026-01-14T15:11:44.18" personId="{68794FB4-DF43-4D55-BF4D-33287E9AE6A0}" id="{3F494351-2C46-43D6-AC01-F033C4AE76F2}" parentId="{C49836D4-05FB-40B5-A5AA-56CEE3D9145C}">
    <text>PP                 VALOR
1245               7.400.000</text>
  </threadedComment>
  <threadedComment ref="R134" dT="2026-01-14T15:58:14.20" personId="{68794FB4-DF43-4D55-BF4D-33287E9AE6A0}" id="{C18CA4D9-F1FE-4DEC-BEBA-1999826CA206}" parentId="{C49836D4-05FB-40B5-A5AA-56CEE3D9145C}">
    <text>1100        5.400.000</text>
  </threadedComment>
  <threadedComment ref="R135" dT="2026-01-14T15:12:16.24" personId="{68794FB4-DF43-4D55-BF4D-33287E9AE6A0}" id="{5B005896-E604-4FF0-BAED-8DF020008A78}">
    <text>PP                        VALOR
1245                    7.400.000</text>
  </threadedComment>
  <threadedComment ref="R135" dT="2026-01-14T15:59:32.58" personId="{68794FB4-DF43-4D55-BF4D-33287E9AE6A0}" id="{C195AB6E-5339-442E-BEC3-B768AF375F97}" parentId="{5B005896-E604-4FF0-BAED-8DF020008A78}">
    <text>1100         5.400.000</text>
  </threadedComment>
  <threadedComment ref="R136" dT="2026-01-13T16:54:15.43" personId="{5BEB30C7-49E5-4A2B-8017-89B48CEA3826}" id="{16B47240-7658-460E-97CC-16468ED51542}">
    <text>PP    VALOR
842  14.800.000</text>
  </threadedComment>
  <threadedComment ref="R137" dT="2026-01-13T17:55:29.32" personId="{5BEB30C7-49E5-4A2B-8017-89B48CEA3826}" id="{9612F911-27DD-4B31-8C11-46709F5C9E92}">
    <text>PP    VALOR
851  12.000.000</text>
  </threadedComment>
  <threadedComment ref="R137" dT="2026-01-14T13:40:24.15" personId="{68794FB4-DF43-4D55-BF4D-33287E9AE6A0}" id="{6D7A1AE2-A142-4234-B5CA-AC8542C5B321}" parentId="{9612F911-27DD-4B31-8C11-46709F5C9E92}">
    <text>1235     14.800.000</text>
  </threadedComment>
  <threadedComment ref="R138" dT="2026-01-14T15:47:05.72" personId="{68794FB4-DF43-4D55-BF4D-33287E9AE6A0}" id="{96068801-3656-4D74-A0AD-192E3F19C17D}">
    <text>1107      18.000.000</text>
  </threadedComment>
  <threadedComment ref="R140" dT="2026-01-13T16:20:39.89" personId="{68794FB4-DF43-4D55-BF4D-33287E9AE6A0}" id="{F3B0429D-C4AD-43EE-A5C3-648A141F5C17}">
    <text>PP         VALOR
870       10.800.000
759       14.800.000
1197      10.800.000
1069     14.800.000</text>
  </threadedComment>
  <threadedComment ref="R140" dT="2026-01-14T16:07:42.70" personId="{68794FB4-DF43-4D55-BF4D-33287E9AE6A0}" id="{456C9665-42B7-4F83-AB96-0ABB842FAD70}" parentId="{F3B0429D-C4AD-43EE-A5C3-648A141F5C17}">
    <text>1346          14.800.000</text>
  </threadedComment>
  <threadedComment ref="R141" dT="2026-01-13T21:38:44.67" personId="{68794FB4-DF43-4D55-BF4D-33287E9AE6A0}" id="{6E182E58-51A6-4E78-B80D-C6FF64E45329}">
    <text>PP     VALOR 
167     1.733.333
162     1.850.0000
           1.733.333
164       1.200.000
1178     10.800.000
1283      18.000.000
1298      18.000.000
1312      18.000.000</text>
  </threadedComment>
  <threadedComment ref="R142" dT="2026-01-13T21:02:51.28" personId="{5BEB30C7-49E5-4A2B-8017-89B48CEA3826}" id="{649F6AA9-0956-466D-92BC-BCA9989D0781}">
    <text xml:space="preserve">  PP   VALOR
163     2.000.000
165     1.466.666
868   18.000.000
1337   18.000.000</text>
  </threadedComment>
  <threadedComment ref="R142" dT="2026-01-13T22:31:35.20" personId="{68794FB4-DF43-4D55-BF4D-33287E9AE6A0}" id="{26C8FB65-CE4F-4F61-AA50-5AB8E0F4298C}" parentId="{649F6AA9-0956-466D-92BC-BCA9989D0781}">
    <text>964       18.000.000
1349      18.000.000</text>
  </threadedComment>
  <threadedComment ref="R146" dT="2026-01-13T21:58:32.59" personId="{68794FB4-DF43-4D55-BF4D-33287E9AE6A0}" id="{7DE6EF38-8ACE-444C-98CE-66A9BF968CD5}">
    <text>PP           VALOR
663         14.800.000
965          10.800.000</text>
  </threadedComment>
  <threadedComment ref="R147" dT="2026-01-13T17:09:57.58" personId="{68794FB4-DF43-4D55-BF4D-33287E9AE6A0}" id="{ABB33DB0-CC4F-4427-B51C-FEB672D6AB61}">
    <text>PP           VLR
1096     10.800.000
894       14.800.000
880       16.000.000</text>
  </threadedComment>
  <threadedComment ref="R149" dT="2026-01-13T20:47:29.69" personId="{5BEB30C7-49E5-4A2B-8017-89B48CEA3826}" id="{99FFF375-FF78-4C11-8F2F-FCBBCA99DE4F}">
    <text xml:space="preserve">   PP    VALOR
 664    12.000.000</text>
  </threadedComment>
  <threadedComment ref="R154" dT="2026-01-14T14:13:18.84" personId="{68794FB4-DF43-4D55-BF4D-33287E9AE6A0}" id="{A62A8B88-3513-43B0-B667-281C5D05105B}">
    <text>1304      14.800.000</text>
  </threadedComment>
  <threadedComment ref="R155" dT="2026-01-13T18:20:39.18" personId="{5BEB30C7-49E5-4A2B-8017-89B48CEA3826}" id="{251C2F06-0241-4D0B-BFAA-245E20E34128}">
    <text>PP    VALOR
634   16.000.000</text>
  </threadedComment>
  <threadedComment ref="R156" dT="2026-01-13T21:54:31.38" personId="{5BEB30C7-49E5-4A2B-8017-89B48CEA3826}" id="{4369638F-81F2-40DC-8EF7-D3597713A983}">
    <text xml:space="preserve">  PP   VALOR
1234  14.800.000</text>
  </threadedComment>
  <threadedComment ref="R158" dT="2026-01-13T22:17:34.04" personId="{68794FB4-DF43-4D55-BF4D-33287E9AE6A0}" id="{160DC038-41E8-4DBD-A5DC-0EE8488D53A9}">
    <text>555   16.000.000
931  14.800.000
736   4.800.000
732   5.600.000</text>
  </threadedComment>
  <threadedComment ref="R158" dT="2026-01-14T15:42:41.57" personId="{68794FB4-DF43-4D55-BF4D-33287E9AE6A0}" id="{7E51AFDF-70FC-4D3F-8DB6-F2A215A2C6A9}" parentId="{160DC038-41E8-4DBD-A5DC-0EE8488D53A9}">
    <text>1211      14.800.000</text>
  </threadedComment>
  <threadedComment ref="R159" dT="2026-01-13T20:00:09.24" personId="{68794FB4-DF43-4D55-BF4D-33287E9AE6A0}" id="{20242FD1-E9AB-4314-8D09-56F66BCF1371}">
    <text>PP           VALOR
1218       14.800.000
929         14.800.000
908         14.800.000
841         14.800.000</text>
  </threadedComment>
  <threadedComment ref="R160" dT="2026-01-13T19:32:48.37" personId="{5BEB30C7-49E5-4A2B-8017-89B48CEA3826}" id="{15625FE1-85FF-4812-AB7F-8C34BD9508CF}">
    <text xml:space="preserve">     PP    VALOR
   883   14.800.000  
  1291   14.800.000
    732     9.200.000</text>
  </threadedComment>
  <threadedComment ref="R160" dT="2026-01-14T16:05:44.05" personId="{68794FB4-DF43-4D55-BF4D-33287E9AE6A0}" id="{CC8AC9FF-BF8C-4E45-937F-EEA788FAAF7F}" parentId="{15625FE1-85FF-4812-AB7F-8C34BD9508CF}">
    <text>661        16.000.000</text>
  </threadedComment>
  <threadedComment ref="R161" dT="2026-01-13T19:11:10.14" personId="{5BEB30C7-49E5-4A2B-8017-89B48CEA3826}" id="{F17394AA-24C6-4A78-B8E8-77F2FC02405C}">
    <text>PP    VALOR
774  14.800.000
803  14.800.000</text>
  </threadedComment>
  <threadedComment ref="R161" dT="2026-01-13T21:28:36.47" personId="{68794FB4-DF43-4D55-BF4D-33287E9AE6A0}" id="{F271208F-D099-4E3E-A36C-4581B82CB026}" parentId="{F17394AA-24C6-4A78-B8E8-77F2FC02405C}">
    <text>1124      14.800.000</text>
  </threadedComment>
  <threadedComment ref="R161" dT="2026-01-14T15:57:00.22" personId="{68794FB4-DF43-4D55-BF4D-33287E9AE6A0}" id="{309FC958-69FD-457E-9524-23A9F8C31A67}" parentId="{F17394AA-24C6-4A78-B8E8-77F2FC02405C}">
    <text>475      16.000.000</text>
  </threadedComment>
  <threadedComment ref="R167" dT="2026-01-13T21:16:00.36" personId="{68794FB4-DF43-4D55-BF4D-33287E9AE6A0}" id="{1035509C-F98E-4E26-A38A-F91B362FB768}">
    <text>PP         VALOR
734      14.800.000</text>
  </threadedComment>
  <threadedComment ref="R169" dT="2026-01-14T13:53:27.48" personId="{5BEB30C7-49E5-4A2B-8017-89B48CEA3826}" id="{9B61116E-1A65-4E06-B6CA-A86255299D25}">
    <text xml:space="preserve"> PP     VALOR
1113  14.800.000</text>
  </threadedComment>
  <threadedComment ref="R171" dT="2026-01-14T13:37:25.82" personId="{68794FB4-DF43-4D55-BF4D-33287E9AE6A0}" id="{5CA36552-0478-4A29-8097-9638A9D90F33}">
    <text>1341     12.000.000</text>
  </threadedComment>
  <threadedComment ref="R173" dT="2026-01-13T20:22:08.03" personId="{68794FB4-DF43-4D55-BF4D-33287E9AE6A0}" id="{A70BB136-4D51-4CB0-878F-56E561D16EA1}">
    <text>PP            VALOR
599           5.400.000
1217          2.000.000</text>
  </threadedComment>
  <threadedComment ref="R174" dT="2026-01-13T21:46:47.01" personId="{68794FB4-DF43-4D55-BF4D-33287E9AE6A0}" id="{43C43EA7-FB2B-45B0-A549-3BE4C38D95D8}">
    <text>511        14.800.000
1230         7.400.000</text>
  </threadedComment>
  <threadedComment ref="R175" dT="2026-01-13T16:40:09.84" personId="{68794FB4-DF43-4D55-BF4D-33287E9AE6A0}" id="{98A81A2C-D101-4937-8406-B0041FD4BD35}">
    <text>PP    VALOR 
786    7.400.000</text>
  </threadedComment>
  <threadedComment ref="R176" dT="2026-01-13T20:25:19.72" personId="{68794FB4-DF43-4D55-BF4D-33287E9AE6A0}" id="{E2791433-D0B0-48B2-8F68-E44E7332F020}">
    <text>PP      VALOR
599      5.000.000
511      2.400.000</text>
  </threadedComment>
  <threadedComment ref="R177" dT="2026-01-14T13:44:29.92" personId="{68794FB4-DF43-4D55-BF4D-33287E9AE6A0}" id="{AA474FAC-CFCA-4ACE-B3DF-BB7C041C3739}">
    <text>1230      7.400.000</text>
  </threadedComment>
  <threadedComment ref="R178" dT="2026-01-13T20:31:06.62" personId="{68794FB4-DF43-4D55-BF4D-33287E9AE6A0}" id="{76C28FD2-7DDB-4D6A-A625-7ADBB1194E3F}">
    <text>PP               VALOR
778           4.000.000
599           2.400.000
511          10.000.000
1217         2.000.000</text>
  </threadedComment>
  <threadedComment ref="R180" dT="2026-01-13T16:40:56.81" personId="{68794FB4-DF43-4D55-BF4D-33287E9AE6A0}" id="{65E943C9-74D1-44D8-A94A-025A71EBA6CA}">
    <text>PP    VALOR 
778    6.000.000
786   3.700.000
1217 2.000.000</text>
  </threadedComment>
  <threadedComment ref="R181" dT="2026-01-13T17:13:29.82" personId="{68794FB4-DF43-4D55-BF4D-33287E9AE6A0}" id="{D95E36D3-2646-42B1-B25C-9C1475041712}">
    <text>PP     VALOR 
778    2.800.000
786    3.700.000
1217   2.000.000</text>
  </threadedComment>
  <threadedComment ref="R182" dT="2026-01-13T20:35:27.85" personId="{68794FB4-DF43-4D55-BF4D-33287E9AE6A0}" id="{39E47DCC-C55D-4794-BBD2-7DBFA0888AF3}">
    <text>PP              VALOR
778            2.000.000
599            2,000.000
1217          1.200.000</text>
  </threadedComment>
  <threadedComment ref="R183" dT="2026-01-13T16:35:27.03" personId="{5BEB30C7-49E5-4A2B-8017-89B48CEA3826}" id="{16C3074E-C33A-421D-BA47-807DB5012B79}">
    <text>PP     VALOR
545   14.800.000
731    14.800.000</text>
  </threadedComment>
  <threadedComment ref="R184" dT="2026-01-13T18:48:05.58" personId="{5BEB30C7-49E5-4A2B-8017-89B48CEA3826}" id="{2F542552-1682-4C09-80A2-6245BAEBDCD1}">
    <text>PP   VALOR
823 14.800.000</text>
  </threadedComment>
  <threadedComment ref="R184" dT="2026-01-13T21:11:06.95" personId="{68794FB4-DF43-4D55-BF4D-33287E9AE6A0}" id="{A3584C26-2508-45DF-A36B-961F6613594F}" parentId="{2F542552-1682-4C09-80A2-6245BAEBDCD1}">
    <text>813    14.800.000</text>
  </threadedComment>
  <threadedComment ref="R185" dT="2026-01-14T15:43:53.47" personId="{68794FB4-DF43-4D55-BF4D-33287E9AE6A0}" id="{8D678692-961B-4528-99B1-BAAF75638281}">
    <text>769     14.800.000</text>
  </threadedComment>
  <threadedComment ref="R186" dT="2026-01-13T20:53:53.01" personId="{68794FB4-DF43-4D55-BF4D-33287E9AE6A0}" id="{FE25E0FC-5442-4A77-BA53-92A525ECAF65}">
    <text>PP             VALOR
481          14.800.000</text>
  </threadedComment>
  <threadedComment ref="R188" dT="2026-01-13T20:38:04.65" personId="{68794FB4-DF43-4D55-BF4D-33287E9AE6A0}" id="{8A1A429C-7FB8-4158-9815-CA70A6020343}">
    <text>PP                     VALOR 
666                    10.800.000
719                     14.800.000
817                      9.200.000</text>
  </threadedComment>
  <threadedComment ref="R194" dT="2026-01-14T13:40:42.79" personId="{5BEB30C7-49E5-4A2B-8017-89B48CEA3826}" id="{7ED23CFE-6651-4E1E-9625-E9C4E2EB7843}">
    <text>PP   VALOR
485   14.800.000</text>
  </threadedComment>
  <threadedComment ref="R194" dT="2026-01-14T14:10:14.57" personId="{68794FB4-DF43-4D55-BF4D-33287E9AE6A0}" id="{B731E34C-9965-464D-B1F7-28AC6F60B734}" parentId="{7ED23CFE-6651-4E1E-9625-E9C4E2EB7843}">
    <text>1118     14.800.000</text>
  </threadedComment>
  <threadedComment ref="R195" dT="2026-01-13T21:38:08.48" personId="{5BEB30C7-49E5-4A2B-8017-89B48CEA3826}" id="{4FB71388-7660-4815-8F51-18324CE3CAAF}">
    <text xml:space="preserve">  PP     VALOR
1128  14.800.000</text>
  </threadedComment>
  <threadedComment ref="R195" dT="2026-01-13T21:38:47.35" personId="{68794FB4-DF43-4D55-BF4D-33287E9AE6A0}" id="{DDCB3987-983F-489A-9B1B-7777F6CF212D}" parentId="{4FB71388-7660-4815-8F51-18324CE3CAAF}">
    <text>1300     16.000.000</text>
  </threadedComment>
  <threadedComment ref="R197" dT="2026-01-13T14:13:28.00" personId="{68794FB4-DF43-4D55-BF4D-33287E9AE6A0}" id="{B1A46DA4-E4C7-457E-9B80-6FC856FDD246}">
    <text>PP             VALOR
849          8.100.000
861          6.900.000
1106        8.100.000</text>
  </threadedComment>
  <threadedComment ref="R197" dT="2026-01-14T15:28:28.58" personId="{68794FB4-DF43-4D55-BF4D-33287E9AE6A0}" id="{78877980-F16A-4735-8E4D-22B56414E6EF}" parentId="{B1A46DA4-E4C7-457E-9B80-6FC856FDD246}">
    <text>1190        6.900.000</text>
  </threadedComment>
  <threadedComment ref="R198" dT="2026-01-13T21:13:42.72" personId="{5BEB30C7-49E5-4A2B-8017-89B48CEA3826}" id="{14B1928D-FE1D-40F2-A1A2-770D3BD1C1F1}">
    <text xml:space="preserve">  PP   VALOR
1098  11.100.000</text>
  </threadedComment>
  <threadedComment ref="R198" dT="2026-01-13T21:54:25.33" personId="{68794FB4-DF43-4D55-BF4D-33287E9AE6A0}" id="{2651BA60-E1B0-42D4-B47D-8369DC4CEC9B}" parentId="{14B1928D-FE1D-40F2-A1A2-770D3BD1C1F1}">
    <text>1290    6.900.000
507      14.800.000
1111     9.200.000</text>
  </threadedComment>
  <threadedComment ref="R200" dT="2026-01-13T19:48:10.09" personId="{68794FB4-DF43-4D55-BF4D-33287E9AE6A0}" id="{CAA29644-BF94-4457-BF19-CFAFB8B463E5}">
    <text>PP            VALOR
914     11.100.000</text>
  </threadedComment>
  <threadedComment ref="R201" dT="2026-01-08T14:59:21.46" personId="{68794FB4-DF43-4D55-BF4D-33287E9AE6A0}" id="{32B7AC15-4958-408F-B616-1A0A56644896}">
    <text>PP          VALOR
760       14.800.000
609     16.000.000
853      10.800.000
847      14.800.000</text>
  </threadedComment>
  <threadedComment ref="R201" dT="2026-01-08T20:39:38.35" personId="{68794FB4-DF43-4D55-BF4D-33287E9AE6A0}" id="{7F17A244-3D4B-43CE-87F3-EF9BB696B8D9}" parentId="{32B7AC15-4958-408F-B616-1A0A56644896}">
    <text xml:space="preserve">658      10.000.000
653    16.000.000
1216   14.800.000
1220    16.000.000 </text>
  </threadedComment>
  <threadedComment ref="R201" dT="2026-01-09T22:10:13.97" personId="{5BEB30C7-49E5-4A2B-8017-89B48CEA3826}" id="{F03A1E0F-9D4D-4409-9DD1-DF8EF397BB96}" parentId="{32B7AC15-4958-408F-B616-1A0A56644896}">
    <text>775    10.800.000
467    10.800.000
464    10.800.000</text>
  </threadedComment>
  <threadedComment ref="R201" dT="2026-01-14T15:34:31.51" personId="{68794FB4-DF43-4D55-BF4D-33287E9AE6A0}" id="{FE0BC1A6-99F9-4FE3-9262-CAABA53DD4E4}" parentId="{32B7AC15-4958-408F-B616-1A0A56644896}">
    <text>1145     14.800.000</text>
  </threadedComment>
  <threadedComment ref="R202" dT="2026-01-13T21:25:26.72" personId="{68794FB4-DF43-4D55-BF4D-33287E9AE6A0}" id="{C07407CC-9D38-4979-844D-8CDBE852AD40}">
    <text>PP            VALOR
1347        10.800.000
1240         12.000.000</text>
  </threadedComment>
  <threadedComment ref="R203" dT="2026-01-14T14:00:03.38" personId="{5BEB30C7-49E5-4A2B-8017-89B48CEA3826}" id="{21900AC2-CB64-41AA-8D4A-19B743A8CB9B}">
    <text xml:space="preserve">  PP   VALOR
1316 10.000.000</text>
  </threadedComment>
  <threadedComment ref="R207" dT="2026-01-13T22:27:03.21" personId="{68794FB4-DF43-4D55-BF4D-33287E9AE6A0}" id="{10F6629E-6CA8-4734-888A-80113BF4902B}">
    <text>1109     16.000.000</text>
  </threadedComment>
  <threadedComment ref="R209" dT="2026-01-06T00:04:46.49" personId="{68794FB4-DF43-4D55-BF4D-33287E9AE6A0}" id="{297E45AB-0B69-48D6-8C80-6D62EC5CFB5F}">
    <text>PP   VALOR 
145   15.416.000
148    15.396.000
141    82.148.000
142    28.040.000
146    44.872.000
147   49.080.000
135     117.744.000
143    17.520.000
144    17.520.000
140    19.624.000</text>
  </threadedComment>
  <threadedComment ref="R210" dT="2026-01-05T19:57:38.99" personId="{68794FB4-DF43-4D55-BF4D-33287E9AE6A0}" id="{F60C50A3-EE15-4860-BD83-0D9F76A15FB6}">
    <text>PP    VALOR 
166    986.667
150    19.624.000
151     123.034.000
149     38.560.000
857     16.000.000
724     16.000.000
1333   16.000.000
170     640.000.000</text>
  </threadedComment>
</ThreadedComments>
</file>

<file path=xl/threadedComments/threadedComment12.xml><?xml version="1.0" encoding="utf-8"?>
<ThreadedComments xmlns="http://schemas.microsoft.com/office/spreadsheetml/2018/threadedcomments" xmlns:x="http://schemas.openxmlformats.org/spreadsheetml/2006/main">
  <threadedComment ref="R10" dT="2026-01-08T22:39:07.54" personId="{68794FB4-DF43-4D55-BF4D-33287E9AE6A0}" id="{A4B9E527-CB29-4ADA-817B-3E6ACD8A5E83}">
    <text>PP    VALOR 
68     12.000.000</text>
  </threadedComment>
  <threadedComment ref="R11" dT="2026-01-06T21:44:59.76" personId="{68794FB4-DF43-4D55-BF4D-33287E9AE6A0}" id="{09A8508A-DBAA-4FB4-9EA6-9D249929BECC}">
    <text>PP     VALOR 
29    14.800.000</text>
  </threadedComment>
  <threadedComment ref="R12" dT="2026-01-02T15:20:37.11" personId="{68794FB4-DF43-4D55-BF4D-33287E9AE6A0}" id="{32CE46CE-DA9D-4DE0-960A-FAFC57D7492E}">
    <text>PP            VLR
7         9.600.000
15     14.800.000
32       9.600.000
56     16.000.000
46     12.000.000
43       9.600.000
44     14.800.000
45     14.800.000
47     12.000.000
52     14.800.000
53     14.800.000
54     14.800.000
55     9.600.000
57     10.800.000
45     14.800.000</text>
  </threadedComment>
  <threadedComment ref="R12" dT="2026-01-07T15:11:03.72" personId="{68794FB4-DF43-4D55-BF4D-33287E9AE6A0}" id="{6E1DA509-4C6E-4EC1-87B3-C4B938773B16}" parentId="{32CE46CE-DA9D-4DE0-960A-FAFC57D7492E}">
    <text>51   14.800.000</text>
  </threadedComment>
  <threadedComment ref="R12" dT="2026-01-07T15:21:54.87" personId="{68794FB4-DF43-4D55-BF4D-33287E9AE6A0}" id="{F58E947C-01C1-4803-A14F-BBE845E25F57}" parentId="{32CE46CE-DA9D-4DE0-960A-FAFC57D7492E}">
    <text>50   14.800.000</text>
  </threadedComment>
  <threadedComment ref="R12" dT="2026-01-07T15:36:33.81" personId="{68794FB4-DF43-4D55-BF4D-33287E9AE6A0}" id="{D670AFEF-48D3-48AF-909D-FC58F5B2ACEF}" parentId="{32CE46CE-DA9D-4DE0-960A-FAFC57D7492E}">
    <text>48  10.800.000</text>
  </threadedComment>
  <threadedComment ref="R12" dT="2026-01-07T15:43:26.29" personId="{68794FB4-DF43-4D55-BF4D-33287E9AE6A0}" id="{88156D85-5790-4206-83C3-9B917B610A79}" parentId="{32CE46CE-DA9D-4DE0-960A-FAFC57D7492E}">
    <text>49   10.800.000</text>
  </threadedComment>
  <threadedComment ref="R12" dT="2026-01-07T15:57:24.40" personId="{68794FB4-DF43-4D55-BF4D-33287E9AE6A0}" id="{C62538DA-08D3-4CAB-A6CE-AD628A18BCF9}" parentId="{32CE46CE-DA9D-4DE0-960A-FAFC57D7492E}">
    <text>47   12.000.000</text>
  </threadedComment>
  <threadedComment ref="S12" dT="2026-01-09T14:46:13.17" personId="{68794FB4-DF43-4D55-BF4D-33287E9AE6A0}" id="{26D43E2B-F434-4D14-8AB7-B4A72D1A2F18}">
    <text>PP   CBPP   VALOR 
45   371    14.800.000</text>
  </threadedComment>
  <threadedComment ref="R13" dT="2026-01-08T22:06:43.74" personId="{68794FB4-DF43-4D55-BF4D-33287E9AE6A0}" id="{2F16A4E9-C6C5-49AF-B0F4-43D58CD9C03B}">
    <text>PP    VALOR
58     16.000.000
59      12.000.000</text>
  </threadedComment>
  <threadedComment ref="R15" dT="2026-01-08T21:46:00.71" personId="{68794FB4-DF43-4D55-BF4D-33287E9AE6A0}" id="{1959E966-DFB7-45F0-A1CE-4E7148D6E72C}">
    <text>PP                VALOR
60          14.800.000
62          10.800.000
63      10.800.000
65      9.600.000</text>
  </threadedComment>
  <threadedComment ref="S15" dT="2026-01-08T22:22:27.92" personId="{68794FB4-DF43-4D55-BF4D-33287E9AE6A0}" id="{5A00045D-1DC7-406F-83EF-A3B9B8498E8C}">
    <text>PP    VALOR 
61     9.600.000</text>
  </threadedComment>
  <threadedComment ref="R16" dT="2026-01-02T19:52:03.73" personId="{68794FB4-DF43-4D55-BF4D-33287E9AE6A0}" id="{1AA8DD87-8280-4F36-9588-8CBA596ED8E2}">
    <text>PP     VALOR 
8     6.000.000
18    14.800.000
17     20.000.000</text>
  </threadedComment>
  <threadedComment ref="R16" dT="2026-01-14T13:45:09.32" personId="{68794FB4-DF43-4D55-BF4D-33287E9AE6A0}" id="{FE17023D-2980-4A6E-8F5F-D155B3454AD6}" parentId="{1AA8DD87-8280-4F36-9588-8CBA596ED8E2}">
    <text>75    14.800.000</text>
  </threadedComment>
  <threadedComment ref="S16" dT="2026-01-09T14:50:16.05" personId="{68794FB4-DF43-4D55-BF4D-33287E9AE6A0}" id="{9EB507AD-A0BE-44F0-B894-E55EC076EC7B}">
    <text>PP   CBPP     VALOR 
18   161     14.800.000</text>
  </threadedComment>
  <threadedComment ref="R17" dT="2026-01-08T22:36:52.44" personId="{68794FB4-DF43-4D55-BF4D-33287E9AE6A0}" id="{6EC4042C-6199-4D0D-832B-A1F52247089D}">
    <text>PP     VALOR 
66     14.800.000
69     4.000.000</text>
  </threadedComment>
  <threadedComment ref="R18" dT="2026-01-09T15:51:06.63" personId="{68794FB4-DF43-4D55-BF4D-33287E9AE6A0}" id="{EAC93AEB-8475-4EB1-85D5-A26954B1908A}">
    <text>PP   VALOR 
69   4.000.000</text>
  </threadedComment>
  <threadedComment ref="R19" dT="2026-01-07T21:42:40.31" personId="{68794FB4-DF43-4D55-BF4D-33287E9AE6A0}" id="{D748492D-C828-494D-9AE4-0EB0172C7E46}">
    <text>64     14.800.000
69     4.000.000</text>
  </threadedComment>
  <threadedComment ref="R22" dT="2026-01-02T20:22:47.61" personId="{68794FB4-DF43-4D55-BF4D-33287E9AE6A0}" id="{5F3539C5-B01D-4FF9-BA0D-38ADF4BE01A4}">
    <text>PP      VALOR
12    14.800.000
33      9.600.000
30     16.000.000</text>
  </threadedComment>
  <threadedComment ref="R23" dT="2026-01-02T20:19:42.13" personId="{68794FB4-DF43-4D55-BF4D-33287E9AE6A0}" id="{C01B668E-7C62-4B14-899E-FE7AB9793009}">
    <text>PP    VALOR 
11    16.000.000
27    14.800.000
26    14.800.000
34    10.800.000</text>
  </threadedComment>
  <threadedComment ref="R24" dT="2026-01-02T20:06:55.67" personId="{68794FB4-DF43-4D55-BF4D-33287E9AE6A0}" id="{77980701-647B-4795-B747-55058C65768A}">
    <text>PP    VALOR
9   20.000.000
10  14.800.000
28   17.200.000</text>
  </threadedComment>
  <threadedComment ref="R24" dT="2026-01-05T21:14:08.91" personId="{68794FB4-DF43-4D55-BF4D-33287E9AE6A0}" id="{3EF259FF-1FD1-47A4-BFD5-E1511F0D94FF}" parentId="{77980701-647B-4795-B747-55058C65768A}">
    <text>24    16.000.000</text>
  </threadedComment>
  <threadedComment ref="Q28" dT="2026-01-06T14:27:14.49" personId="{5BEB30C7-49E5-4A2B-8017-89B48CEA3826}" id="{C9215BCE-0EDB-4675-AC1B-5603763386C5}">
    <text>Traslado entre actividades 60.000.000 6-01-2025</text>
  </threadedComment>
  <threadedComment ref="R28" dT="2026-01-05T14:30:38.07" personId="{68794FB4-DF43-4D55-BF4D-33287E9AE6A0}" id="{8E623389-BC5E-48DA-B484-CADB3CFB4089}">
    <text>PP      VALOR 
16     14.800.000
19     14.800.000
23      14.800.000
20      14.800.000
36      10.800.000
40      10.800.000
39      10.800.000
38      14.800.000
37      12.000.000
41      10.800.000
35      12.000.000
31      14.800.000
67      14.800.000</text>
  </threadedComment>
  <threadedComment ref="R28" dT="2026-01-06T20:27:39.28" personId="{68794FB4-DF43-4D55-BF4D-33287E9AE6A0}" id="{C3E7C80E-82FD-482D-8FDD-88553BDA0A29}" parentId="{8E623389-BC5E-48DA-B484-CADB3CFB4089}">
    <text>42     12.000.000</text>
  </threadedComment>
  <threadedComment ref="Q29" dT="2026-01-06T14:27:19.45" personId="{5BEB30C7-49E5-4A2B-8017-89B48CEA3826}" id="{E55779CF-B7CA-44CC-9DDC-8C44F78F37BA}">
    <text>Traslado entre actividades 60.000.000 6-01-2025</text>
  </threadedComment>
  <threadedComment ref="R29" dT="2026-01-08T17:25:36.41" personId="{68794FB4-DF43-4D55-BF4D-33287E9AE6A0}" id="{37B74A91-A013-42D0-A437-DE7C06749EB5}">
    <text>PP          VLR
100    60.000.000</text>
  </threadedComment>
  <threadedComment ref="R30" dT="2026-01-05T15:04:40.09" personId="{68794FB4-DF43-4D55-BF4D-33287E9AE6A0}" id="{E9ACC6BA-C642-436F-8F64-2965B4EF9C74}">
    <text>PP     VALOR 
21     14.800.000
20   14.800.000</text>
  </threadedComment>
  <threadedComment ref="R31" dT="2026-01-02T19:50:51.23" personId="{68794FB4-DF43-4D55-BF4D-33287E9AE6A0}" id="{62B3C63F-222A-4645-A8EE-AB6B24482978}">
    <text>PP       VALOR 
8     8.800.000
13   12.000.000
14   14.800.000
25    14.800.000</text>
  </threadedComment>
</ThreadedComments>
</file>

<file path=xl/threadedComments/threadedComment13.xml><?xml version="1.0" encoding="utf-8"?>
<ThreadedComments xmlns="http://schemas.microsoft.com/office/spreadsheetml/2018/threadedcomments" xmlns:x="http://schemas.openxmlformats.org/spreadsheetml/2006/main">
  <threadedComment ref="Q20" dT="2026-01-08T20:53:46.64" personId="{5BEB30C7-49E5-4A2B-8017-89B48CEA3826}" id="{AE3F6582-E450-44F9-AEB0-72D9962F358D}">
    <text>Traslado entre actividades $ 88.000.000 8-01-2026</text>
  </threadedComment>
  <threadedComment ref="R23" dT="2026-01-08T17:27:19.61" personId="{68794FB4-DF43-4D55-BF4D-33287E9AE6A0}" id="{710E4C40-C631-44A4-8F1E-FBDFE3FA3AFC}">
    <text>PP          VLR
100    10.000.000</text>
  </threadedComment>
  <threadedComment ref="Q24" dT="2026-01-08T21:01:02.81" personId="{5BEB30C7-49E5-4A2B-8017-89B48CEA3826}" id="{E1342274-C0E0-4802-8D6D-A61E356CBAD9}">
    <text>Traslado entre actividades $ 88.000.000 8-01-2026</text>
  </threadedComment>
  <threadedComment ref="R24" dT="2026-01-06T16:59:13.34" personId="{68794FB4-DF43-4D55-BF4D-33287E9AE6A0}" id="{5966EA59-218D-4E1D-8A99-B372E3968E9C}">
    <text>PP     VALOR 
203    4.000.000
206    5.400.000
238    6.000.000
287     3.200.000
284     3.200.000
421    2.000.000
420     3.200.000
408    3.200.000
404    2.800.000
1055   3.200.000
1052    3.200.000
1065    4.800.000
1066    4.800.000
1074    4.000.000
1067    1.000.000
1071     4.000.000
1076     4.400.000</text>
  </threadedComment>
  <threadedComment ref="Q26" dT="2026-01-08T21:01:53.48" personId="{5BEB30C7-49E5-4A2B-8017-89B48CEA3826}" id="{0EBD0769-7D6B-4603-A9A8-66C731C4D15C}">
    <text>Traslado entre actividades $ 133.433.964  8-01-2026</text>
  </threadedComment>
  <threadedComment ref="Q29" dT="2026-01-08T21:02:28.09" personId="{5BEB30C7-49E5-4A2B-8017-89B48CEA3826}" id="{6D88A439-632B-4A05-98C0-2BBD9D8B3B3A}">
    <text>Traslado entre actividades $ 133.433.964  8-01-2026</text>
  </threadedComment>
  <threadedComment ref="R29" dT="2026-01-05T13:23:50.70" personId="{68794FB4-DF43-4D55-BF4D-33287E9AE6A0}" id="{A632EA19-7159-4058-B94D-E372A53B13AA}">
    <text>PP     VALOR 
304    2.800.000
295   6.800.000
194    7.400.000
307    6.800.000
208    7.400.000
319     16.000.000
321    8.000.000
1056   4.800.000
1041   6.000.000
1078   9.200.000</text>
  </threadedComment>
  <threadedComment ref="R29" dT="2026-01-08T19:44:39.01" personId="{68794FB4-DF43-4D55-BF4D-33287E9AE6A0}" id="{DFDB86AE-5B9F-4D68-9B1B-BAEB6759E1FE}" parentId="{A632EA19-7159-4058-B94D-E372A53B13AA}">
    <text>1039       8.000.000
389       8.000.000</text>
  </threadedComment>
  <threadedComment ref="R29" dT="2026-01-09T16:58:40.46" personId="{68794FB4-DF43-4D55-BF4D-33287E9AE6A0}" id="{34495985-C834-4A8D-8FD8-0CE65CDFA012}" parentId="{A632EA19-7159-4058-B94D-E372A53B13AA}">
    <text>407     8.000.000
1067    4.000.000</text>
  </threadedComment>
  <threadedComment ref="R30" dT="2026-01-06T13:49:33.86" personId="{68794FB4-DF43-4D55-BF4D-33287E9AE6A0}" id="{4A008F65-6B56-469D-ABB9-F24CB7247A9B}">
    <text>PP    VALOR 
193    12.000.000
234    4.000.000
197    4.000.000</text>
  </threadedComment>
  <threadedComment ref="R31" dT="2026-01-08T17:27:58.29" personId="{68794FB4-DF43-4D55-BF4D-33287E9AE6A0}" id="{D3663810-28B7-44CC-97EA-C2671504090E}">
    <text>PP         VLR
100    10.000.000</text>
  </threadedComment>
  <threadedComment ref="R32" dT="2026-01-05T16:02:34.15" personId="{68794FB4-DF43-4D55-BF4D-33287E9AE6A0}" id="{E3ABE901-615B-4625-9FF8-6AD3D58FA56A}">
    <text>PP    VALOR
190         60.018.351
1399    388.000.000</text>
  </threadedComment>
  <threadedComment ref="R33" dT="2026-01-02T21:54:37.65" personId="{68794FB4-DF43-4D55-BF4D-33287E9AE6A0}" id="{B6E19535-F4B5-47D7-915D-719E199B51C0}">
    <text>PP    VALOR 
92       57.890.996
184   356.902.165</text>
  </threadedComment>
  <threadedComment ref="R37" dT="2026-01-06T16:12:53.30" personId="{68794FB4-DF43-4D55-BF4D-33287E9AE6A0}" id="{32E8FD7A-5B1D-43CB-9E52-C71932FE5359}">
    <text>PP     VALOR 
194    7.400.000
208    7.400.000
389     8.000.000
430     16.000.000
1075     3.000.000</text>
  </threadedComment>
  <threadedComment ref="R38" dT="2026-01-08T17:28:25.63" personId="{68794FB4-DF43-4D55-BF4D-33287E9AE6A0}" id="{7F5D307A-8141-4C4F-8C38-8D0135E323E6}">
    <text>PP        VLR
100   10.000.000</text>
  </threadedComment>
  <threadedComment ref="R39" dT="2026-01-05T14:24:49.32" personId="{68794FB4-DF43-4D55-BF4D-33287E9AE6A0}" id="{638DF592-67C9-4380-9D73-342FD07B9C96}">
    <text>PP    VALOR
295   8.000.000
307    8.000.000
239   14.800.000
234    8.000.000
320    16.000.000
321     8.000.000
1056   7.400.000
1041   6.000.000
370     7.400.000
1078   8.000.000</text>
  </threadedComment>
  <threadedComment ref="R39" dT="2026-01-08T19:46:31.50" personId="{68794FB4-DF43-4D55-BF4D-33287E9AE6A0}" id="{D196B1A0-0BD2-4BE0-A9F0-467A3A2169C2}" parentId="{638DF592-67C9-4380-9D73-342FD07B9C96}">
    <text>1039     8.000.000
1043   16.000.000</text>
  </threadedComment>
  <threadedComment ref="R39" dT="2026-01-09T16:59:08.44" personId="{68794FB4-DF43-4D55-BF4D-33287E9AE6A0}" id="{4D145480-ABF7-413D-B19F-DD16D54017DC}" parentId="{638DF592-67C9-4380-9D73-342FD07B9C96}">
    <text>407     8.000.000</text>
  </threadedComment>
  <threadedComment ref="R40" dT="2026-01-05T15:54:58.34" personId="{68794FB4-DF43-4D55-BF4D-33287E9AE6A0}" id="{50D4BEA1-FAF8-493D-B623-F8E760F10595}">
    <text>PP    VALOR
188   378.215.548</text>
  </threadedComment>
  <threadedComment ref="R44" dT="2026-01-05T13:15:34.42" personId="{68794FB4-DF43-4D55-BF4D-33287E9AE6A0}" id="{EF4E496D-DF91-4AAE-81F7-9073898589DF}">
    <text>PP       VALOR 
301    1.200.000
297     8.000.000
203     5.600.000
216    4.000.000
234    2.800.000
206    5.400.000
195    4.000.000
197     12.000.000
238      6.000.000
287     6.000.000
284     6.000.000
306    12.000.000
1055    6.000.000
1074    6.000.000
409      10.800.000
1075      9.000.000
1049      2.000.000
1073       1.200.000
1080     16.000.000</text>
  </threadedComment>
  <threadedComment ref="R44" dT="2026-01-08T19:26:24.78" personId="{68794FB4-DF43-4D55-BF4D-33287E9AE6A0}" id="{440B9E65-7BDE-425E-8197-F3C82B085654}" parentId="{EF4E496D-DF91-4AAE-81F7-9073898589DF}">
    <text>1035      9.200.000</text>
  </threadedComment>
  <threadedComment ref="R44" dT="2026-01-08T20:01:41.81" personId="{68794FB4-DF43-4D55-BF4D-33287E9AE6A0}" id="{C375CD3B-60D3-4BAD-B933-43900E3367FF}" parentId="{EF4E496D-DF91-4AAE-81F7-9073898589DF}">
    <text>1026       2.000.000
421    7.600.000
420     6.000.000
417     9.200.000
408    6.000.000
404    8.000.000
403      10.400.000
377    1.600.000
434     2.800.000
1025    16.000.000</text>
  </threadedComment>
  <threadedComment ref="R44" dT="2026-01-09T15:14:34.31" personId="{68794FB4-DF43-4D55-BF4D-33287E9AE6A0}" id="{38665C25-6AC6-4E56-8C9F-8943204BAE8E}" parentId="{EF4E496D-DF91-4AAE-81F7-9073898589DF}">
    <text>1050          14.800.000
1042     12.000.000</text>
  </threadedComment>
  <threadedComment ref="R44" dT="2026-01-09T20:21:00.54" personId="{68794FB4-DF43-4D55-BF4D-33287E9AE6A0}" id="{4C70D214-2625-454F-9A4F-AB3BB3FCB194}" parentId="{EF4E496D-DF91-4AAE-81F7-9073898589DF}">
    <text>1059          3.200.000</text>
  </threadedComment>
  <threadedComment ref="R44" dT="2026-01-09T20:35:20.52" personId="{68794FB4-DF43-4D55-BF4D-33287E9AE6A0}" id="{968F11DD-F854-4DE6-B659-A7CC1665F934}" parentId="{EF4E496D-DF91-4AAE-81F7-9073898589DF}">
    <text>1058          10.800.000
1053          14.800.000
1062          14.800.000
1052       6.000.000
1060      2.800.000
1071     6.000.000
1076    4.800.000</text>
  </threadedComment>
  <threadedComment ref="R44" dT="2026-01-14T16:21:34.32" personId="{68794FB4-DF43-4D55-BF4D-33287E9AE6A0}" id="{C1DC54FE-22F1-4BB7-838E-1F100F031B6A}" parentId="{EF4E496D-DF91-4AAE-81F7-9073898589DF}">
    <text>1446        16.000.000</text>
  </threadedComment>
  <threadedComment ref="R45" dT="2026-01-08T17:28:59.01" personId="{68794FB4-DF43-4D55-BF4D-33287E9AE6A0}" id="{B6529F16-61BA-4A3F-B1C9-D7946D0DDCB4}">
    <text>PP        VLR
100   10.000.000</text>
  </threadedComment>
  <threadedComment ref="R46" dT="2026-01-05T13:31:15.48" personId="{68794FB4-DF43-4D55-BF4D-33287E9AE6A0}" id="{4D609DEF-2C09-4371-9F4E-95A7DB8C40EC}">
    <text>PP      VALOR 
299      3.600.000
313     8.800.000
259     6.800.000
199    6.800.000
737    14.800.000
293    6.800.000
259     6.800.000</text>
  </threadedComment>
  <threadedComment ref="R46" dT="2026-01-14T16:08:26.87" personId="{68794FB4-DF43-4D55-BF4D-33287E9AE6A0}" id="{6B95C1BF-A85F-4889-929D-8E88B3F6E3BA}" parentId="{4D609DEF-2C09-4371-9F4E-95A7DB8C40EC}">
    <text>1028      7.400.000</text>
  </threadedComment>
  <threadedComment ref="R48" dT="2026-01-05T13:16:08.56" personId="{68794FB4-DF43-4D55-BF4D-33287E9AE6A0}" id="{3D634B8F-A779-4EE4-869D-8B6EC248FD7B}">
    <text>PP      VALOR 
301     6.000.000
304     4.000.000
219     4.000.000
216    6.000.000
195    4.000.000
236    6.800.000
235    6.000.000
1048   6.800.000
1056   2.600.000
370     7.400.000
1441   16.000.000</text>
  </threadedComment>
  <threadedComment ref="R48" dT="2026-01-08T20:23:05.11" personId="{68794FB4-DF43-4D55-BF4D-33287E9AE6A0}" id="{65AB135E-6215-4A97-9A4F-EE5F27B43E16}" parentId="{3D634B8F-A779-4EE4-869D-8B6EC248FD7B}">
    <text>1029     16.000.000
422     8.000.000
432    12.000.000
435    14.800.000
1061  14.800.000
1047     6.800.000</text>
  </threadedComment>
  <threadedComment ref="R48" dT="2026-01-14T16:09:59.51" personId="{68794FB4-DF43-4D55-BF4D-33287E9AE6A0}" id="{6202569A-0E2D-4F80-93C5-3E30FCB17031}" parentId="{3D634B8F-A779-4EE4-869D-8B6EC248FD7B}">
    <text>1028        8.600.000</text>
  </threadedComment>
  <threadedComment ref="R49" dT="2026-01-08T17:29:33.43" personId="{68794FB4-DF43-4D55-BF4D-33287E9AE6A0}" id="{E1375839-FEE2-4CAD-9972-65DA2BAB2C92}">
    <text>PP         VLR
100   10.000.000</text>
  </threadedComment>
  <threadedComment ref="R53" dT="2026-01-05T13:16:56.00" personId="{68794FB4-DF43-4D55-BF4D-33287E9AE6A0}" id="{DA83A697-830B-4331-B80A-6496D9FAD19D}">
    <text>PP      VALOR 
301     6.000.000
304      5.200.000
299      6.000.000
297      5.200.000
1048     4.000.000
1063    14.800.000
1074     2.000.000
1439     12.800.000
1437      12.800.000</text>
  </threadedComment>
  <threadedComment ref="R53" dT="2026-01-06T17:05:44.96" personId="{68794FB4-DF43-4D55-BF4D-33287E9AE6A0}" id="{E28DF60F-0440-41F8-8541-953FE7B3627C}" parentId="{DA83A697-830B-4331-B80A-6496D9FAD19D}">
    <text>250   14.800.000
313    8.000.000
230    14.800.000
220     16.000.000
219     4.000.000
216    6.000.000
211    12.000.000
233    14.800.000
199    8.000.000
195   4.000.000
236    4.000.000
235    6.000.000</text>
  </threadedComment>
  <threadedComment ref="R53" dT="2026-01-07T20:23:36.26" personId="{68794FB4-DF43-4D55-BF4D-33287E9AE6A0}" id="{ADAE5C2D-5445-4242-AF47-FE174659F55A}" parentId="{DA83A697-830B-4331-B80A-6496D9FAD19D}">
    <text>362    13.200.000
1038  13.200.000
1037  14.800.000
243     14.000.000</text>
  </threadedComment>
  <threadedComment ref="R53" dT="2026-01-08T15:56:44.01" personId="{68794FB4-DF43-4D55-BF4D-33287E9AE6A0}" id="{F18EF968-6102-4DC9-A1B8-FAA27BDFDB73}" parentId="{DA83A697-830B-4331-B80A-6496D9FAD19D}">
    <text>375       14.800.000
311     12.800.000
316      13.200.000</text>
  </threadedComment>
  <threadedComment ref="R53" dT="2026-01-08T16:26:18.82" personId="{68794FB4-DF43-4D55-BF4D-33287E9AE6A0}" id="{78F17E8B-A257-474E-B4F7-AB87DDCF0F39}" parentId="{DA83A697-830B-4331-B80A-6496D9FAD19D}">
    <text>425      10.000.000
259      8.000.000</text>
  </threadedComment>
  <threadedComment ref="R53" dT="2026-01-08T19:34:12.01" personId="{68794FB4-DF43-4D55-BF4D-33287E9AE6A0}" id="{C2B2CC9F-5EC0-47FC-B82C-B9D04963D291}" parentId="{DA83A697-830B-4331-B80A-6496D9FAD19D}">
    <text>1036        14.800.000
428      14.800.000
422      4.800.000
423     13.200.000
1072   14.800.000
388     12.000.000
1044   16.000.000</text>
  </threadedComment>
  <threadedComment ref="R53" dT="2026-01-09T20:07:56.31" personId="{68794FB4-DF43-4D55-BF4D-33287E9AE6A0}" id="{2D671E89-BFED-4833-9993-7C2F6AF0E284}" parentId="{DA83A697-830B-4331-B80A-6496D9FAD19D}">
    <text>1054         13.200.000
1067       9.000.000
1045      12.000.000
1047      4.000.000</text>
  </threadedComment>
  <threadedComment ref="R53" dT="2026-01-13T22:30:19.22" personId="{5BEB30C7-49E5-4A2B-8017-89B48CEA3826}" id="{91ADBBD4-7397-46D8-BAD5-ED49ABD7DA8C}" parentId="{DA83A697-830B-4331-B80A-6496D9FAD19D}">
    <text>1077      14.800.000</text>
  </threadedComment>
  <threadedComment ref="R54" dT="2026-01-08T17:29:54.17" personId="{68794FB4-DF43-4D55-BF4D-33287E9AE6A0}" id="{F62FB124-F5C3-46D5-9D95-426FFE24E5B2}">
    <text>PP        VLR
100   10.000.000</text>
  </threadedComment>
  <threadedComment ref="R62" dT="2026-01-05T16:03:39.48" personId="{68794FB4-DF43-4D55-BF4D-33287E9AE6A0}" id="{329C4F54-E589-4BBF-B62E-73E3F8EFE9BC}">
    <text>PP    VALOR
190   78.000.000</text>
  </threadedComment>
  <threadedComment ref="R64" dT="2026-01-05T20:30:32.63" personId="{68794FB4-DF43-4D55-BF4D-33287E9AE6A0}" id="{9C678A5E-6322-4BE8-8364-D729B6563CE7}">
    <text>PP     VALOR 
94      309.713.649
1302  14.353.862</text>
  </threadedComment>
  <threadedComment ref="R65" dT="2026-01-06T13:57:48.09" personId="{68794FB4-DF43-4D55-BF4D-33287E9AE6A0}" id="{0408FCC3-A315-4635-A166-E60144E8F5E8}">
    <text>PP     VALOR 
85   1.400.000.000</text>
  </threadedComment>
  <threadedComment ref="R67" dT="2026-01-08T20:05:10.03" personId="{68794FB4-DF43-4D55-BF4D-33287E9AE6A0}" id="{ABB6C6C5-72B8-46D3-A0CA-6BCA3185470E}">
    <text>PP           VALOR
1026        4.800.000
403      400.000
377     4.800.000
434     4.400.000
1049   4.400.000
1440     14.800.000</text>
  </threadedComment>
  <threadedComment ref="R67" dT="2026-01-09T20:24:01.26" personId="{68794FB4-DF43-4D55-BF4D-33287E9AE6A0}" id="{D9BBE3DA-837B-4B6C-BB60-515342A59D60}" parentId="{ABB6C6C5-72B8-46D3-A0CA-6BCA3185470E}">
    <text>1059        4.400.000
1060     4.400.000
1079     14.800.000</text>
  </threadedComment>
  <threadedComment ref="R69" dT="2026-01-08T20:09:21.59" personId="{68794FB4-DF43-4D55-BF4D-33287E9AE6A0}" id="{8DE63992-3600-4A7C-8E5F-CBFA4C9274FD}">
    <text>PP         VALOR
1026    2.800.000
377      3.200.000
434      2.000.000
1066     4.800.000 
1049     2.800.000</text>
  </threadedComment>
  <threadedComment ref="R69" dT="2026-01-09T20:26:43.52" personId="{68794FB4-DF43-4D55-BF4D-33287E9AE6A0}" id="{E6A390CE-3991-48F3-9CC8-C71B3019FDA9}" parentId="{8DE63992-3600-4A7C-8E5F-CBFA4C9274FD}">
    <text>1059       1.600.000
1060     2.000.000
1065    4.800.000</text>
  </threadedComment>
  <threadedComment ref="R73" dT="2026-01-09T21:49:31.44" personId="{68794FB4-DF43-4D55-BF4D-33287E9AE6A0}" id="{6B95541E-E4FA-4F94-A7D7-EDACE7E06575}">
    <text>PP     VALOR 
1051   4.400.000
1073   4.400.000</text>
  </threadedComment>
  <threadedComment ref="R75" dT="2026-01-09T21:50:05.48" personId="{68794FB4-DF43-4D55-BF4D-33287E9AE6A0}" id="{9D92613A-690A-49AE-AA97-394D36C23B92}">
    <text>PP     VALOR 
1051    4.800.000
1073    5.200.000</text>
  </threadedComment>
  <threadedComment ref="R77" dT="2026-01-02T21:57:02.61" personId="{68794FB4-DF43-4D55-BF4D-33287E9AE6A0}" id="{7484E856-A26F-4B26-A5F4-8B5ABBC72815}">
    <text>PP    VALOR 
87     14.999.537
187    84.997.374
68    14.999.537</text>
  </threadedComment>
  <threadedComment ref="S77" dT="2026-01-05T21:28:38.87" personId="{68794FB4-DF43-4D55-BF4D-33287E9AE6A0}" id="{77E52782-7D95-4CBF-AD0A-01B9D7877F17}">
    <text>PP    CBPP    VALOR
187   119    84.997.374</text>
  </threadedComment>
  <threadedComment ref="R78" dT="2026-01-05T16:04:25.95" personId="{68794FB4-DF43-4D55-BF4D-33287E9AE6A0}" id="{9E5F34CA-850E-417A-B185-0E637C017A72}">
    <text>PP    VALOR
190   100.000.000</text>
  </threadedComment>
  <threadedComment ref="R87" dT="2026-01-05T13:17:34.25" personId="{68794FB4-DF43-4D55-BF4D-33287E9AE6A0}" id="{6EF9ACA8-60FF-4797-8A01-0CF4D0A1ED28}">
    <text>PP       VALOR 
301     4.000.000
304     4.000.000
299       6.000.000
219     4.000.000
216     4.000.000
195     4.000.000
236     4.000.000
235     4.000.000
1048    4.000.000</text>
  </threadedComment>
  <threadedComment ref="R87" dT="2026-01-07T22:11:39.58" personId="{68794FB4-DF43-4D55-BF4D-33287E9AE6A0}" id="{9468CDAB-13F4-48A1-A00B-D2AD2E845F58}" parentId="{6EF9ACA8-60FF-4797-8A01-0CF4D0A1ED28}">
    <text>1040        14.800.000
293      8.000.000
424     16.000.000
422    4.400.000
1068  16.000.000
1047    4.000.000</text>
  </threadedComment>
  <threadedComment ref="R92" dT="2026-01-05T16:43:47.63" personId="{68794FB4-DF43-4D55-BF4D-33287E9AE6A0}" id="{25347B10-605E-4659-87B2-7A170FF40DF6}">
    <text>PP    VALOR 
117    375.000.000
114    375.000.000
115     375.000.000
116    375.000.000</text>
  </threadedComment>
  <threadedComment ref="R93" dT="2026-01-05T15:47:19.36" personId="{68794FB4-DF43-4D55-BF4D-33287E9AE6A0}" id="{2087B94B-C685-423A-977E-01C549DC8709}">
    <text>PP      VALOR 
119    704.000.0000
118     650.000.000
113      650.000.000
109    996.000.000</text>
  </threadedComment>
  <threadedComment ref="R94" dT="2026-01-05T15:39:49.65" personId="{68794FB4-DF43-4D55-BF4D-33287E9AE6A0}" id="{EE197A46-6F16-4CAA-B848-9FB27F7E52CD}">
    <text>PP     VALOR 
110    1.185.000.000
119     536.000.000
111    1.410.000.000
118     385.000.000
117    1.225.000.000
114   1.220.000.000
112     1.530.000.000
113     760.000.000
119    536.000.000
115    725.000.000
116    880.000.000</text>
  </threadedComment>
</ThreadedComments>
</file>

<file path=xl/threadedComments/threadedComment2.xml><?xml version="1.0" encoding="utf-8"?>
<ThreadedComments xmlns="http://schemas.microsoft.com/office/spreadsheetml/2018/threadedcomments" xmlns:x="http://schemas.openxmlformats.org/spreadsheetml/2006/main">
  <threadedComment ref="R15" dT="2026-01-06T21:06:16.68" personId="{68794FB4-DF43-4D55-BF4D-33287E9AE6A0}" id="{74349A6F-02E5-4634-99DB-52596DAB57D0}">
    <text>PP               VALOR 
 75           814.800.000
765        17.200.000
357        16.000.000
332        14.800.000
315        17.200.000
308        12.000.000
310        10.800.000
758        14.800.000
312        22.000.000
328        14.000.000
323        12.000.000
330        12.000.000
339         14.800.000
333         12.000.000
773         14.800.000
789         16.000.000
341         14.800.000
770         14.800.000
781         14.800.000</text>
  </threadedComment>
  <threadedComment ref="R15" dT="2026-01-07T21:53:41.21" personId="{68794FB4-DF43-4D55-BF4D-33287E9AE6A0}" id="{C746FC56-5B88-4AD0-BB98-3D6ABAB17E6E}" parentId="{74349A6F-02E5-4634-99DB-52596DAB57D0}">
    <text>763     16.000.000</text>
  </threadedComment>
  <threadedComment ref="R15" dT="2026-01-08T15:45:06.44" personId="{68794FB4-DF43-4D55-BF4D-33287E9AE6A0}" id="{6C8711C8-08E2-41F9-8547-CB683A0747D2}" parentId="{74349A6F-02E5-4634-99DB-52596DAB57D0}">
    <text>314          14.800.000
100          60.000.000
758          14.800.000
782           7.000.000
763         16.000.000
338      14.800.000
363       14.800.000
349       14.800.000
356      14.800.000</text>
  </threadedComment>
  <threadedComment ref="R15" dT="2026-01-13T21:40:58.48" personId="{68794FB4-DF43-4D55-BF4D-33287E9AE6A0}" id="{216819F0-5905-4B96-848F-3B924DA93682}" parentId="{74349A6F-02E5-4634-99DB-52596DAB57D0}">
    <text>730        16.000.000</text>
  </threadedComment>
  <threadedComment ref="R15" dT="2026-01-13T22:43:46.09" personId="{5BEB30C7-49E5-4A2B-8017-89B48CEA3826}" id="{79C56CB9-1C0A-4B58-ACC7-DB49F55E5CE6}" parentId="{74349A6F-02E5-4634-99DB-52596DAB57D0}">
    <text>334    12.000.000
745    16.000.000</text>
  </threadedComment>
  <threadedComment ref="R15" dT="2026-01-13T22:49:27.99" personId="{68794FB4-DF43-4D55-BF4D-33287E9AE6A0}" id="{BD6499D1-BCC5-486E-945E-FAF98D251C05}" parentId="{74349A6F-02E5-4634-99DB-52596DAB57D0}">
    <text>777       9.600.000
336      14.800.000
343      16.000.000
345      14.800.000
346      14.800.000
329      14.800.000
324      14.800.000
322      14.800.000
347      14.800.000</text>
  </threadedComment>
  <threadedComment ref="R16" dT="2026-01-06T19:52:04.86" personId="{68794FB4-DF43-4D55-BF4D-33287E9AE6A0}" id="{C4377A34-4C98-424F-9752-CA1E34B65692}">
    <text>PP    VALOR 
264   8.600.000
737  14.800.000
268    8.600.000
288     8.600.000
726   16.000.000
630   14.800.000
721    14.800.000</text>
  </threadedComment>
  <threadedComment ref="R16" dT="2026-01-07T21:45:04.47" personId="{68794FB4-DF43-4D55-BF4D-33287E9AE6A0}" id="{DDA638B4-2584-4D08-BB0A-9F64FAC127A4}" parentId="{C4377A34-4C98-424F-9752-CA1E34B65692}">
    <text>735    14.800.000</text>
  </threadedComment>
  <threadedComment ref="R16" dT="2026-01-08T18:14:32.62" personId="{68794FB4-DF43-4D55-BF4D-33287E9AE6A0}" id="{828A6F21-0801-45F0-8A4B-0674591E66CA}" parentId="{C4377A34-4C98-424F-9752-CA1E34B65692}">
    <text>752     9.000.000</text>
  </threadedComment>
  <threadedComment ref="R27" dT="2026-01-06T21:18:59.82" personId="{68794FB4-DF43-4D55-BF4D-33287E9AE6A0}" id="{73CF7F2B-02AC-455A-8125-12D9D26E7597}">
    <text>PP    VALOR 
282   1.200.000
290   10.600.000
296   22.000.000
298   16.000.000
300   16.000.000
272   16.000.000
291    14.800.000
303    14.800.000
622    14.800.000
1490   12.000.000</text>
  </threadedComment>
  <threadedComment ref="R27" dT="2026-01-06T22:11:04.98" personId="{68794FB4-DF43-4D55-BF4D-33287E9AE6A0}" id="{E64A4021-6EC7-483E-956D-DF8DDF3E01B6}" parentId="{73CF7F2B-02AC-455A-8125-12D9D26E7597}">
    <text>294   14.800.000
302   14.800.000</text>
  </threadedComment>
  <threadedComment ref="R27" dT="2026-01-06T22:42:34.22" personId="{68794FB4-DF43-4D55-BF4D-33287E9AE6A0}" id="{0892DBE6-A8B0-4AA8-8FC7-A408CF7B0ED5}" parentId="{73CF7F2B-02AC-455A-8125-12D9D26E7597}">
    <text>292   10.800.000
1282    16.000.000
471     14.800.000
1284   14.000.000
479     16.000.000</text>
  </threadedComment>
  <threadedComment ref="S27" dT="2026-01-14T14:45:36.56" personId="{68794FB4-DF43-4D55-BF4D-33287E9AE6A0}" id="{90DE6C34-6881-4388-A171-9CD89C423931}">
    <text>PP      CBPP       VALOR
272     399        16.000.000</text>
  </threadedComment>
  <threadedComment ref="S27" dT="2026-01-14T15:59:55.30" personId="{68794FB4-DF43-4D55-BF4D-33287E9AE6A0}" id="{2056A066-69FC-4D8D-86F2-C78886E497DF}" parentId="{90DE6C34-6881-4388-A171-9CD89C423931}">
    <text>296     344      2.000.000</text>
  </threadedComment>
  <threadedComment ref="R28" dT="2026-01-06T13:51:48.36" personId="{68794FB4-DF43-4D55-BF4D-33287E9AE6A0}" id="{0F982FFD-665E-46ED-8F30-FF6B9408828E}">
    <text>PP    VALOR 
553    14.800.000
326     17.200.000
482     14.800.000
486    14.800.000
540     12.000.000
267      10.800.000
564     14.800.000
354     17.200.000
240    16.000.000
518     16.000.000
622     10.800.000
528     16.000.000
497     14.800.000
591     16.000.000
615      10.800.000
476   14.800.000
264    8.600.000
268     8.600.000
288     8.600.000
379    17.200.000
767     12.000.000
271    12.000.000
274    14.800.000
290    1.900.000
510    10.800.000
276     14.800.000</text>
  </threadedComment>
  <threadedComment ref="R28" dT="2026-01-06T21:07:58.18" personId="{68794FB4-DF43-4D55-BF4D-33287E9AE6A0}" id="{68F288A3-1800-4545-ACF5-19A335D25971}" parentId="{0F982FFD-665E-46ED-8F30-FF6B9408828E}">
    <text>275    14.800.000
282     10.800.000
286     12.000.000
270     18.000.000</text>
  </threadedComment>
  <threadedComment ref="R28" dT="2026-01-07T18:58:25.91" personId="{68794FB4-DF43-4D55-BF4D-33287E9AE6A0}" id="{40D1CDEA-D70E-497B-8124-6582502B2EEC}" parentId="{0F982FFD-665E-46ED-8F30-FF6B9408828E}">
    <text>273    14.800.000
281     12.000.000</text>
  </threadedComment>
  <threadedComment ref="S28" dT="2026-01-08T20:07:40.64" personId="{68794FB4-DF43-4D55-BF4D-33287E9AE6A0}" id="{20F938D7-9ACC-417F-A07B-A6BE45A1C7EA}">
    <text>PP    CBPP     VALOR 
553   187     14.800.000</text>
  </threadedComment>
</ThreadedComments>
</file>

<file path=xl/threadedComments/threadedComment3.xml><?xml version="1.0" encoding="utf-8"?>
<ThreadedComments xmlns="http://schemas.microsoft.com/office/spreadsheetml/2018/threadedcomments" xmlns:x="http://schemas.openxmlformats.org/spreadsheetml/2006/main">
  <threadedComment ref="R10" dT="2026-01-07T19:29:54.81" personId="{68794FB4-DF43-4D55-BF4D-33287E9AE6A0}" id="{C79A2A30-9C75-424A-AA26-4D7BA39F8A4A}">
    <text>PP                        VALOR
999                10.000.000</text>
  </threadedComment>
  <threadedComment ref="R11" dT="2026-01-07T19:30:27.96" personId="{68794FB4-DF43-4D55-BF4D-33287E9AE6A0}" id="{A973A0BF-2225-496B-9FF6-1FA649E7CD01}">
    <text>PP            VALOR
999           4.800.000</text>
  </threadedComment>
  <threadedComment ref="T11" dT="2026-01-06T16:48:12.06" personId="{5BEB30C7-49E5-4A2B-8017-89B48CEA3826}" id="{587C65E6-7806-4174-9A53-12C26C37808F}">
    <text>AJUSTE PENDIENTE POR REALIZAR 6-01-2026</text>
  </threadedComment>
  <threadedComment ref="R12" dT="2026-01-02T21:56:19.99" personId="{68794FB4-DF43-4D55-BF4D-33287E9AE6A0}" id="{2F1F3619-95EC-4570-A177-8FAA1087DE01}">
    <text>PP        VLR
542   7.500.000</text>
  </threadedComment>
  <threadedComment ref="R12" dT="2026-01-06T14:32:57.11" personId="{68794FB4-DF43-4D55-BF4D-33287E9AE6A0}" id="{C8D927F8-A041-4135-9158-808DCE8B5B90}" parentId="{2F1F3619-95EC-4570-A177-8FAA1087DE01}">
    <text>748     7.500.000
749     7.500.000
751     7.500.000</text>
  </threadedComment>
  <threadedComment ref="R13" dT="2026-01-02T21:57:39.23" personId="{68794FB4-DF43-4D55-BF4D-33287E9AE6A0}" id="{F44A5173-08D8-4B25-8E51-5572BCF4132E}">
    <text>PP       VLR
550   6.000.000
551   6.000.000
554   6.000.000
782   5.000.000</text>
  </threadedComment>
  <threadedComment ref="R13" dT="2026-01-06T14:33:32.08" personId="{68794FB4-DF43-4D55-BF4D-33287E9AE6A0}" id="{A72BFE7A-10B1-4041-A2DE-D0D98D60D157}" parentId="{F44A5173-08D8-4B25-8E51-5572BCF4132E}">
    <text>748   7.500.000
749   7.500.000
751   7.500.000</text>
  </threadedComment>
  <threadedComment ref="R14" dT="2026-01-02T21:56:43.96" personId="{68794FB4-DF43-4D55-BF4D-33287E9AE6A0}" id="{4E52E9DA-A725-4CFC-9172-5A4347FA31BB}">
    <text>PP         VLR
542    4.250.000
550  10.000.000
551  10.000.000
554  10.000.000
552    5.500.000</text>
  </threadedComment>
  <threadedComment ref="R15" dT="2026-01-06T14:34:19.03" personId="{68794FB4-DF43-4D55-BF4D-33287E9AE6A0}" id="{7531A3CA-FB4D-4CD5-8BE6-A177BCEF2A0E}">
    <text>PP           VLR
748     1.000.000
749     1.000.000
751     1.000.000</text>
  </threadedComment>
  <threadedComment ref="R16" dT="2026-01-02T21:56:43.96" personId="{68794FB4-DF43-4D55-BF4D-33287E9AE6A0}" id="{75D89AF1-1245-4002-A8A2-77B6EBB9A58F}">
    <text>PP         VLR
542     4.250.000
552   10.500.000
779   10.800.000
782   9.800.000</text>
  </threadedComment>
  <threadedComment ref="R17" dT="2026-01-13T22:11:11.44" personId="{68794FB4-DF43-4D55-BF4D-33287E9AE6A0}" id="{0095E504-60AB-4BA0-B6E3-369EFB487704}">
    <text>PP                     VALOR
679                     16.000.000</text>
  </threadedComment>
  <threadedComment ref="R24" dT="2026-01-08T17:34:06.25" personId="{68794FB4-DF43-4D55-BF4D-33287E9AE6A0}" id="{DA7FD135-3EBA-41A7-A573-E55B78692CCF}">
    <text>PP         VLR
100    20.000.000</text>
  </threadedComment>
  <threadedComment ref="R27" dT="2026-01-05T19:47:56.69" personId="{68794FB4-DF43-4D55-BF4D-33287E9AE6A0}" id="{FB08F5F9-4E4D-4274-A486-82D0BB410035}">
    <text>PP    VALOR 
121    76.500.000
677    3.700.000
678    3.700.000</text>
  </threadedComment>
  <threadedComment ref="R28" dT="2026-01-05T22:25:13.36" personId="{68794FB4-DF43-4D55-BF4D-33287E9AE6A0}" id="{C6F61242-F7B8-404C-AD08-F4A032E63B4C}">
    <text>PP   VALOR
122   50.000.000</text>
  </threadedComment>
  <threadedComment ref="R29" dT="2026-01-05T23:25:45.99" personId="{68794FB4-DF43-4D55-BF4D-33287E9AE6A0}" id="{9107555A-9EC0-41E9-87B2-C5310FDFD760}">
    <text>PP      VALOR
677     11.100.000
678      11.100.000
682         12.000.000
684     14.800.000</text>
  </threadedComment>
  <threadedComment ref="R30" dT="2026-01-08T17:33:01.84" personId="{68794FB4-DF43-4D55-BF4D-33287E9AE6A0}" id="{ED40D255-AD7A-431B-A4EA-4DC542EC768D}">
    <text>PP        VLR
100   40.000.000</text>
  </threadedComment>
  <threadedComment ref="R32" dT="2026-01-14T14:55:40.45" personId="{68794FB4-DF43-4D55-BF4D-33287E9AE6A0}" id="{40485D0B-F0FB-443E-8F19-80E65FC72A66}">
    <text>PP              VALOR
695            3.000.000</text>
  </threadedComment>
  <threadedComment ref="R33" dT="2026-01-14T14:57:45.59" personId="{68794FB4-DF43-4D55-BF4D-33287E9AE6A0}" id="{13B2312A-15F5-47C8-A149-4987177C1577}">
    <text>PP             VALOR
695         6.000.000</text>
  </threadedComment>
  <threadedComment ref="R34" dT="2026-01-14T14:59:00.65" personId="{68794FB4-DF43-4D55-BF4D-33287E9AE6A0}" id="{640FA60A-1C24-4DD6-9DCB-5DE39704B28B}">
    <text>PP           VALOR
695        3.000.000</text>
  </threadedComment>
  <threadedComment ref="R38" dT="2026-01-14T15:03:03.86" personId="{68794FB4-DF43-4D55-BF4D-33287E9AE6A0}" id="{119BDE3C-A82E-46ED-A9C0-306D3EB1E54F}">
    <text>PP         VALOR
695        1.200.000</text>
  </threadedComment>
  <threadedComment ref="R39" dT="2026-01-14T15:04:52.56" personId="{68794FB4-DF43-4D55-BF4D-33287E9AE6A0}" id="{B4BAF9C4-24D8-4543-A134-C5A06A20216E}">
    <text>PP           VALOR
695          2.800.000</text>
  </threadedComment>
  <threadedComment ref="R41" dT="2026-01-05T23:39:12.55" personId="{68794FB4-DF43-4D55-BF4D-33287E9AE6A0}" id="{CCEC2D23-3F4C-41A8-A5C6-26D1CDD987C4}">
    <text>PP     VALOR 
675    1.000.000</text>
  </threadedComment>
  <threadedComment ref="R42" dT="2026-01-05T23:31:36.64" personId="{68794FB4-DF43-4D55-BF4D-33287E9AE6A0}" id="{717031E4-979B-48D5-A19F-8E52B0922A67}">
    <text>PP    VALOR 
673    9.900.000
675     10.500.000
674    9.900.000</text>
  </threadedComment>
  <threadedComment ref="R43" dT="2026-01-05T23:40:58.15" personId="{68794FB4-DF43-4D55-BF4D-33287E9AE6A0}" id="{B29AF003-A85D-40D5-8993-61B83CC16DD9}">
    <text>PP        VALOR 
675     1.500.000</text>
  </threadedComment>
  <threadedComment ref="R44" dT="2026-01-05T23:32:06.53" personId="{68794FB4-DF43-4D55-BF4D-33287E9AE6A0}" id="{7D1ACB9E-B001-435E-BE83-F1444DD804BD}">
    <text>PP    VALOR 
673    2.100.000
674   2.100.000</text>
  </threadedComment>
  <threadedComment ref="R45" dT="2026-01-05T23:41:39.81" personId="{68794FB4-DF43-4D55-BF4D-33287E9AE6A0}" id="{B495FE51-35BC-4F0C-A9D4-16FD1947B746}">
    <text>PP       VALOR 
675      3.000.000</text>
  </threadedComment>
  <threadedComment ref="R47" dT="2026-01-13T14:48:38.22" personId="{68794FB4-DF43-4D55-BF4D-33287E9AE6A0}" id="{783F0D60-FA89-44F3-9629-BF68ECFAFD5D}">
    <text>694      14.800.000</text>
  </threadedComment>
  <threadedComment ref="R47" dT="2026-01-14T15:16:36.09" personId="{68794FB4-DF43-4D55-BF4D-33287E9AE6A0}" id="{928FA046-86D1-488B-A46E-DA3B87D350C3}" parentId="{783F0D60-FA89-44F3-9629-BF68ECFAFD5D}">
    <text>696     14.800.000</text>
  </threadedComment>
  <threadedComment ref="R51" dT="2026-01-05T19:07:20.65" personId="{68794FB4-DF43-4D55-BF4D-33287E9AE6A0}" id="{FFB2E7A5-543A-4993-93D0-BA11DC85ED89}">
    <text>PP     VALOR 
676    16.000.000</text>
  </threadedComment>
  <threadedComment ref="R52" dT="2026-01-13T14:45:01.89" personId="{68794FB4-DF43-4D55-BF4D-33287E9AE6A0}" id="{C96D5AFD-CE5F-479B-AC33-44A06C6CD9FB}">
    <text>693     16.000.000</text>
  </threadedComment>
</ThreadedComments>
</file>

<file path=xl/threadedComments/threadedComment4.xml><?xml version="1.0" encoding="utf-8"?>
<ThreadedComments xmlns="http://schemas.microsoft.com/office/spreadsheetml/2018/threadedcomments" xmlns:x="http://schemas.openxmlformats.org/spreadsheetml/2006/main">
  <threadedComment ref="R12" dT="2026-01-09T14:25:33.05" personId="{68794FB4-DF43-4D55-BF4D-33287E9AE6A0}" id="{F613BCAA-DA51-45F4-9A49-FCFF61F0CC52}">
    <text>PP    VALOR 
860   2.300.000
866      200.000
1087    2.000.000
958     2.000.000
959     3.800.000</text>
  </threadedComment>
  <threadedComment ref="S12" dT="2026-01-14T16:04:27.23" personId="{68794FB4-DF43-4D55-BF4D-33287E9AE6A0}" id="{0A1B897C-B959-4BAD-A92C-E7BF73C8E391}">
    <text>PP    CBPP    VALOR 
1087    617     2.000.000</text>
  </threadedComment>
  <threadedComment ref="R13" dT="2026-01-09T13:55:19.89" personId="{68794FB4-DF43-4D55-BF4D-33287E9AE6A0}" id="{861CACA8-C4E2-4794-B528-530BE1AF3B3F}">
    <text>PP    VALOR 
856    3.800.000
865    2.000.000
863    3.800.000</text>
  </threadedComment>
  <threadedComment ref="R13" dT="2026-01-13T22:25:36.10" personId="{68794FB4-DF43-4D55-BF4D-33287E9AE6A0}" id="{AF39A54F-F3D2-4608-AB35-6D0A97B14A9E}" parentId="{861CACA8-C4E2-4794-B528-530BE1AF3B3F}">
    <text>858      3.800.000</text>
  </threadedComment>
  <threadedComment ref="R14" dT="2026-01-09T17:59:49.56" personId="{5BEB30C7-49E5-4A2B-8017-89B48CEA3826}" id="{AB03439D-24F5-4879-8CF5-552D4B6552A8}">
    <text>865  $4.000.000</text>
  </threadedComment>
  <threadedComment ref="R15" dT="2026-01-09T19:09:30.69" personId="{5BEB30C7-49E5-4A2B-8017-89B48CEA3826}" id="{46A1968D-658A-473E-BDC5-EBB3B33E277F}">
    <text>PP       VALOR
866    6.500.000
959    5.000.000</text>
  </threadedComment>
  <threadedComment ref="R16" dT="2026-01-09T17:59:14.25" personId="{5BEB30C7-49E5-4A2B-8017-89B48CEA3826}" id="{AC7CD1FC-0F7C-4435-92B2-64C12BD955E6}">
    <text>PP   VALOR
865  $3.000.000
959   5.000.000</text>
  </threadedComment>
  <threadedComment ref="R18" dT="2026-01-09T17:57:39.42" personId="{5BEB30C7-49E5-4A2B-8017-89B48CEA3826}" id="{2FB05B31-7994-4B54-8835-014222BBD621}">
    <text>PP    VALOR
865  $3.000.000</text>
  </threadedComment>
  <threadedComment ref="R20" dT="2026-01-09T13:55:53.46" personId="{68794FB4-DF43-4D55-BF4D-33287E9AE6A0}" id="{225FA32F-EE8D-4CC3-B1E9-0925AB5757B3}">
    <text>PP     VALOR 
856   2.000.000
863   2.000.000</text>
  </threadedComment>
  <threadedComment ref="R20" dT="2026-01-13T22:29:10.62" personId="{68794FB4-DF43-4D55-BF4D-33287E9AE6A0}" id="{07E26FBC-6E8E-453A-8B19-3EA2931727E0}" parentId="{225FA32F-EE8D-4CC3-B1E9-0925AB5757B3}">
    <text>858      2.000.000</text>
  </threadedComment>
  <threadedComment ref="R21" dT="2026-01-09T13:56:27.46" personId="{68794FB4-DF43-4D55-BF4D-33287E9AE6A0}" id="{20B945EA-B84B-4059-AE4F-793D818B244E}">
    <text>PP    VALOR 
856   2.000.000
860   2.500.000
863    500.000
866    500.000
1087   1.000.000</text>
  </threadedComment>
  <threadedComment ref="R21" dT="2026-01-13T22:36:19.82" personId="{68794FB4-DF43-4D55-BF4D-33287E9AE6A0}" id="{9840A67E-5110-4C31-8910-CBB97BC88116}" parentId="{20B945EA-B84B-4059-AE4F-793D818B244E}">
    <text>858    500.000</text>
  </threadedComment>
  <threadedComment ref="S21" dT="2026-01-14T16:05:03.24" personId="{68794FB4-DF43-4D55-BF4D-33287E9AE6A0}" id="{913D496F-1DB4-413B-81EE-503CBAE96B93}">
    <text>PP   CBPP    VALOR 
1087    618    1.000.000</text>
  </threadedComment>
  <threadedComment ref="R23" dT="2026-01-13T19:41:20.86" personId="{5BEB30C7-49E5-4A2B-8017-89B48CEA3826}" id="{01228E4A-A198-4E1C-8170-EF6BED2184A8}">
    <text>PP   VALOR
959  1.000.000</text>
  </threadedComment>
  <threadedComment ref="R24" dT="2026-01-09T14:26:58.46" personId="{68794FB4-DF43-4D55-BF4D-33287E9AE6A0}" id="{392A9900-C4D5-46DD-A8FB-30EF9567BD8A}">
    <text>PP   VALOR 
860   1.900.000
866    1.000.000
1087    1.100.000</text>
  </threadedComment>
  <threadedComment ref="S24" dT="2026-01-14T16:05:28.07" personId="{68794FB4-DF43-4D55-BF4D-33287E9AE6A0}" id="{468A54C7-F6A1-4E57-8EF8-09E696C5B213}">
    <text>PP    CBPP   VALOR 
1087   618   1.100.000</text>
  </threadedComment>
  <threadedComment ref="R25" dT="2026-01-13T17:18:38.61" personId="{68794FB4-DF43-4D55-BF4D-33287E9AE6A0}" id="{AF3D0498-0679-436F-A7E1-804E9154D1DB}">
    <text>PP    VALOR 
958   1.000.000</text>
  </threadedComment>
  <threadedComment ref="R27" dT="2026-01-13T17:19:14.55" personId="{68794FB4-DF43-4D55-BF4D-33287E9AE6A0}" id="{B3278B28-4957-4D55-B838-9DA409A34DF6}">
    <text>PP    VALOR 
958    5.000.000</text>
  </threadedComment>
  <threadedComment ref="R28" dT="2026-01-13T17:19:47.57" personId="{68794FB4-DF43-4D55-BF4D-33287E9AE6A0}" id="{EFAC361F-EC23-4CC7-8333-4626A0856A80}">
    <text>PP    VALOR 
958    2.000.000</text>
  </threadedComment>
  <threadedComment ref="R29" dT="2026-01-09T19:14:48.77" personId="{5BEB30C7-49E5-4A2B-8017-89B48CEA3826}" id="{700440A0-0D80-4EE4-A42E-0813F5438E44}">
    <text>PP    VALOR
866   1.000.000</text>
  </threadedComment>
  <threadedComment ref="R29" dT="2026-01-13T17:20:35.29" personId="{68794FB4-DF43-4D55-BF4D-33287E9AE6A0}" id="{4EEF49C7-3902-4B2A-A3C7-8848F9CA1A31}" parentId="{700440A0-0D80-4EE4-A42E-0813F5438E44}">
    <text>958      1.500.000</text>
  </threadedComment>
  <threadedComment ref="R34" dT="2026-01-09T14:27:38.16" personId="{68794FB4-DF43-4D55-BF4D-33287E9AE6A0}" id="{2FFAB029-626D-45C7-B695-7C09AB9C49A1}">
    <text>PP     VALOR 
860    900.000
1087    1.500.000</text>
  </threadedComment>
  <threadedComment ref="S34" dT="2026-01-14T16:05:52.96" personId="{68794FB4-DF43-4D55-BF4D-33287E9AE6A0}" id="{0B233D1B-11D7-45C1-8894-8702885404CD}">
    <text>PP CBBP     VALOR 
1087   618  1500.000</text>
  </threadedComment>
  <threadedComment ref="R40" dT="2026-01-09T13:57:02.29" personId="{68794FB4-DF43-4D55-BF4D-33287E9AE6A0}" id="{9937E661-D588-4AD1-B437-DCDAADF598DA}">
    <text>PP     VALOR 
856   5.500.000
1087   1.800.000</text>
  </threadedComment>
  <threadedComment ref="R40" dT="2026-01-13T22:41:45.28" personId="{68794FB4-DF43-4D55-BF4D-33287E9AE6A0}" id="{6BB08585-0042-4422-A598-5553B7CE1085}" parentId="{9937E661-D588-4AD1-B437-DCDAADF598DA}">
    <text>858      5.500.000</text>
  </threadedComment>
  <threadedComment ref="S40" dT="2026-01-14T16:06:25.12" personId="{68794FB4-DF43-4D55-BF4D-33287E9AE6A0}" id="{A97534A7-4F8F-4422-8ECF-2F705C95177E}">
    <text>PP   CBPP    VALOR 
1087    618   1.800.000</text>
  </threadedComment>
  <threadedComment ref="R41" dT="2026-01-09T14:28:15.42" personId="{68794FB4-DF43-4D55-BF4D-33287E9AE6A0}" id="{F3814118-CCE7-4AB3-95B9-A9080B780FEA}">
    <text>PP     VALOR 
860    3.700.000
863    3.500.000</text>
  </threadedComment>
  <threadedComment ref="R42" dT="2026-01-09T13:57:32.27" personId="{68794FB4-DF43-4D55-BF4D-33287E9AE6A0}" id="{692F31C3-77F7-47B3-B60F-4B32F4D4FF5A}">
    <text>PP    VALOR 
856    3.000.000</text>
  </threadedComment>
  <threadedComment ref="R42" dT="2026-01-13T22:31:34.15" personId="{68794FB4-DF43-4D55-BF4D-33287E9AE6A0}" id="{C533E216-C1E9-4A97-8019-5076F4DED87A}" parentId="{692F31C3-77F7-47B3-B60F-4B32F4D4FF5A}">
    <text>858    3.000.000</text>
  </threadedComment>
  <threadedComment ref="R48" dT="2026-01-08T19:12:57.52" personId="{68794FB4-DF43-4D55-BF4D-33287E9AE6A0}" id="{3C371899-AA1F-460E-B9DA-0BFEB34CA67B}">
    <text>PP   VALOR 
889   14.800.000
961   14.800.000
896   16.000.000
963    14.800.000
739    14.800.000
756    9.400.000</text>
  </threadedComment>
  <threadedComment ref="R60" dT="2026-01-09T16:29:33.64" personId="{68794FB4-DF43-4D55-BF4D-33287E9AE6A0}" id="{6399BDF7-EB3D-43F8-A162-C786D059A542}">
    <text>PP    VALOR
750    500.000</text>
  </threadedComment>
  <threadedComment ref="R68" dT="2026-01-09T16:31:37.99" personId="{68794FB4-DF43-4D55-BF4D-33287E9AE6A0}" id="{6863D616-8E80-4E29-94DB-F23245C31FAA}">
    <text>PP    VALOR 
750    6.150.000
756    1.800.000</text>
  </threadedComment>
  <threadedComment ref="R69" dT="2026-01-09T16:32:14.66" personId="{68794FB4-DF43-4D55-BF4D-33287E9AE6A0}" id="{DC2CF1A8-A2FB-4F27-BE1C-C0C1A871A045}">
    <text>PP    VALOR 
750   5.200.000</text>
  </threadedComment>
  <threadedComment ref="R70" dT="2026-01-09T16:32:58.88" personId="{68794FB4-DF43-4D55-BF4D-33287E9AE6A0}" id="{71A20F2F-C2B7-4B17-A2B6-A44BABFDAD28}">
    <text>PP    VALOR 
750    4.150.000</text>
  </threadedComment>
  <threadedComment ref="R71" dT="2026-01-14T14:16:55.79" personId="{5BEB30C7-49E5-4A2B-8017-89B48CEA3826}" id="{A8FEFE64-BD90-45A9-BADB-2CD14A72D52B}">
    <text>PP     VALOR
1296  6.000.000</text>
  </threadedComment>
  <threadedComment ref="R72" dT="2026-01-14T14:17:09.21" personId="{5BEB30C7-49E5-4A2B-8017-89B48CEA3826}" id="{3F467CA4-055C-45CF-A7DA-7E8269C50391}">
    <text>PP     VALOR
1296  3.000.000</text>
  </threadedComment>
  <threadedComment ref="R75" dT="2026-01-14T14:17:22.45" personId="{5BEB30C7-49E5-4A2B-8017-89B48CEA3826}" id="{ED38A47F-67AA-4D9F-A79A-CF7065F4FB14}">
    <text>PP     VALOR
1296  1.800.000</text>
  </threadedComment>
  <threadedComment ref="R76" dT="2026-01-14T14:17:29.18" personId="{5BEB30C7-49E5-4A2B-8017-89B48CEA3826}" id="{C508A984-8442-46D2-88DB-384179186197}">
    <text>PP     VALOR
1296  4.000.000</text>
  </threadedComment>
  <threadedComment ref="R85" dT="2026-01-08T18:22:07.28" personId="{68794FB4-DF43-4D55-BF4D-33287E9AE6A0}" id="{E2BA6975-D1C0-4828-84D0-D3B3D27C7036}">
    <text>PP        VLR
100     60.000.000</text>
  </threadedComment>
  <threadedComment ref="R86" dT="2026-01-14T14:20:56.62" personId="{68794FB4-DF43-4D55-BF4D-33287E9AE6A0}" id="{52874285-129B-4804-97A9-904033040F55}">
    <text>917      10.000.000</text>
  </threadedComment>
  <threadedComment ref="R89" dT="2026-01-13T14:53:36.73" personId="{68794FB4-DF43-4D55-BF4D-33287E9AE6A0}" id="{FA396EF5-94DE-4EA6-968A-BCC7D037EB56}">
    <text>PP         VALOR
912         1.500.000</text>
  </threadedComment>
  <threadedComment ref="R92" dT="2026-01-09T15:36:22.34" personId="{68794FB4-DF43-4D55-BF4D-33287E9AE6A0}" id="{8FF95786-4F5D-45C6-B8A0-1746ADE002CD}">
    <text>PP        VALOR
1082       6,800.000
1001       11.200.000</text>
  </threadedComment>
  <threadedComment ref="R92" dT="2026-01-13T14:56:02.08" personId="{68794FB4-DF43-4D55-BF4D-33287E9AE6A0}" id="{E7C41ACF-0C1E-464E-912E-12F1D8D111FD}" parentId="{8FF95786-4F5D-45C6-B8A0-1746ADE002CD}">
    <text>912       2.000.000</text>
  </threadedComment>
  <threadedComment ref="R93" dT="2026-01-13T14:58:33.38" personId="{68794FB4-DF43-4D55-BF4D-33287E9AE6A0}" id="{8B9D11F7-D2E8-4CBE-A99D-DEFA2354ABDD}">
    <text>PP            VALOR
912          2.000.000</text>
  </threadedComment>
  <threadedComment ref="R94" dT="2026-01-09T15:38:31.28" personId="{68794FB4-DF43-4D55-BF4D-33287E9AE6A0}" id="{6F56091A-0AE9-4F62-B06E-31D5B842B0FD}">
    <text>PP             VALOR
1082           8-000-000
927             11.200.000
917             6.000.000</text>
  </threadedComment>
  <threadedComment ref="R95" dT="2026-01-13T15:01:59.35" personId="{68794FB4-DF43-4D55-BF4D-33287E9AE6A0}" id="{87F0988D-D0C2-4EBD-B962-3F8B3DF7671A}">
    <text>PP             VALOR
912         2.000.000</text>
  </threadedComment>
  <threadedComment ref="R97" dT="2026-01-13T15:04:07.03" personId="{68794FB4-DF43-4D55-BF4D-33287E9AE6A0}" id="{62F16857-F70A-4AF7-BD08-C8E1A6FE37DE}">
    <text>PP            VALOR
912         3.300.000</text>
  </threadedComment>
  <threadedComment ref="T98" dT="2026-01-09T21:12:01.65" personId="{5BEB30C7-49E5-4A2B-8017-89B48CEA3826}" id="{F07A801A-76ED-4F7E-8789-1374309D2AAE}">
    <text>AJUSTE PENDIENTE POR REALIZAR 9-01-2026</text>
  </threadedComment>
  <threadedComment ref="R100" dT="2026-01-07T21:37:55.11" personId="{68794FB4-DF43-4D55-BF4D-33287E9AE6A0}" id="{7842ABD3-B4F1-4318-AC5D-AED371F17ADC}">
    <text>PP     VALOR 
154    90.951.160,41</text>
  </threadedComment>
  <threadedComment ref="R102" dT="2026-01-09T21:26:32.01" personId="{5BEB30C7-49E5-4A2B-8017-89B48CEA3826}" id="{E7191EEA-F0A2-4C29-9068-788F09C53D8E}">
    <text>PP      VALOR
1159  182.566.842</text>
  </threadedComment>
  <threadedComment ref="R105" dT="2026-01-07T18:41:55.28" personId="{5BEB30C7-49E5-4A2B-8017-89B48CEA3826}" id="{3D1ECE98-863B-4A07-AE9A-E53398E5D9EA}">
    <text>PP     VALOR
821    $16.000.000</text>
  </threadedComment>
  <threadedComment ref="R105" dT="2026-01-09T21:03:37.14" personId="{68794FB4-DF43-4D55-BF4D-33287E9AE6A0}" id="{CB9805C4-B060-4701-A248-79E708893684}" parentId="{3D1ECE98-863B-4A07-AE9A-E53398E5D9EA}">
    <text>1087    7.400.000</text>
  </threadedComment>
  <threadedComment ref="S105" dT="2026-01-14T16:06:45.46" personId="{68794FB4-DF43-4D55-BF4D-33287E9AE6A0}" id="{CA37FBFF-0399-498F-ADE7-D84F57C61FA9}">
    <text>PP   CBPP    VALOR 
1087   619    7.400.000</text>
  </threadedComment>
  <threadedComment ref="R112" dT="2026-01-09T19:21:16.88" personId="{68794FB4-DF43-4D55-BF4D-33287E9AE6A0}" id="{5DD3AD8E-2381-45CB-A704-69454E7CF872}">
    <text xml:space="preserve">PP    VALOR 
916     5.000.000
</text>
  </threadedComment>
  <threadedComment ref="R113" dT="2026-01-09T19:21:53.32" personId="{68794FB4-DF43-4D55-BF4D-33287E9AE6A0}" id="{F91A1F77-1359-4E40-AC8E-FCEFAABAA55C}">
    <text>PP    VALOR 
916    5.000.000</text>
  </threadedComment>
  <threadedComment ref="R115" dT="2026-01-09T21:43:35.76" personId="{68794FB4-DF43-4D55-BF4D-33287E9AE6A0}" id="{179CA0D4-1677-47EB-9192-836FFFD2D47D}">
    <text>PP    VALOR 
916    6.000.000</text>
  </threadedComment>
</ThreadedComments>
</file>

<file path=xl/threadedComments/threadedComment5.xml><?xml version="1.0" encoding="utf-8"?>
<ThreadedComments xmlns="http://schemas.microsoft.com/office/spreadsheetml/2018/threadedcomments" xmlns:x="http://schemas.openxmlformats.org/spreadsheetml/2006/main">
  <threadedComment ref="R10" dT="2026-01-06T15:01:17.85" personId="{68794FB4-DF43-4D55-BF4D-33287E9AE6A0}" id="{4BC9C9FB-194D-4F1A-9D2F-9FF8DCF1D454}">
    <text>PP    VALOR 
598    7.800.000
915    4.600.000</text>
  </threadedComment>
  <threadedComment ref="R10" dT="2026-01-07T19:38:43.69" personId="{68794FB4-DF43-4D55-BF4D-33287E9AE6A0}" id="{98F8FF9C-D069-4A50-AF49-BA74A0D611CE}" parentId="{4BC9C9FB-194D-4F1A-9D2F-9FF8DCF1D454}">
    <text>589   4.200.000</text>
  </threadedComment>
  <threadedComment ref="R10" dT="2026-01-08T15:13:47.60" personId="{68794FB4-DF43-4D55-BF4D-33287E9AE6A0}" id="{5BCE24E1-42B4-49B8-B6C0-4E6EF704F6E4}" parentId="{4BC9C9FB-194D-4F1A-9D2F-9FF8DCF1D454}">
    <text>671     4.000.000
672     7.000.000
621     5.000.000
944     5.000.000</text>
  </threadedComment>
  <threadedComment ref="S10" dT="2026-01-13T21:23:50.33" personId="{68794FB4-DF43-4D55-BF4D-33287E9AE6A0}" id="{9062DE47-9697-406A-A252-DDE7D71EEE32}">
    <text>PP   CBPP     VALOR
672   422      7.000.000</text>
  </threadedComment>
  <threadedComment ref="R12" dT="2026-01-06T22:06:48.43" personId="{68794FB4-DF43-4D55-BF4D-33287E9AE6A0}" id="{099583BD-4791-4B5B-BEA5-D8185EECD285}">
    <text>PP    VALOR 
915   3.500.000
939  10.500.000</text>
  </threadedComment>
  <threadedComment ref="R12" dT="2026-01-07T19:36:02.39" personId="{68794FB4-DF43-4D55-BF4D-33287E9AE6A0}" id="{506CA75A-3010-450A-BBF8-442815C68A9E}" parentId="{099583BD-4791-4B5B-BEA5-D8185EECD285}">
    <text>589   3.000.000</text>
  </threadedComment>
  <threadedComment ref="R12" dT="2026-01-08T15:16:37.05" personId="{68794FB4-DF43-4D55-BF4D-33287E9AE6A0}" id="{257E7A83-235B-4692-B3A8-D50D3B0B298D}" parentId="{099583BD-4791-4B5B-BEA5-D8185EECD285}">
    <text>671     3.000.000</text>
  </threadedComment>
  <threadedComment ref="R12" dT="2026-01-08T15:32:45.92" personId="{68794FB4-DF43-4D55-BF4D-33287E9AE6A0}" id="{6EAD2AFD-1625-43C2-98F1-5C502F60DDBA}" parentId="{099583BD-4791-4B5B-BEA5-D8185EECD285}">
    <text>933       7.700.000
672       7.000.000
100    10.800.000
933   7.700.000</text>
  </threadedComment>
  <threadedComment ref="R12" dT="2026-01-09T19:57:37.28" personId="{68794FB4-DF43-4D55-BF4D-33287E9AE6A0}" id="{E8078DC8-0850-47AE-B830-AD4798632B57}" parentId="{099583BD-4791-4B5B-BEA5-D8185EECD285}">
    <text>1205      6.000.000
938       2.000.000
1250   3.000.000</text>
  </threadedComment>
  <threadedComment ref="S12" dT="2026-01-13T21:24:51.03" personId="{68794FB4-DF43-4D55-BF4D-33287E9AE6A0}" id="{23D6349C-8042-4ED0-BD62-E47E5AB7A234}">
    <text>PP    CBPP    VALOR
672    422     7.000.000</text>
  </threadedComment>
  <threadedComment ref="R15" dT="2026-01-06T19:26:11.57" personId="{68794FB4-DF43-4D55-BF4D-33287E9AE6A0}" id="{CFB4D872-A057-479B-889D-A39C04EB0F38}">
    <text>PP      VALOR
892    4.100.000</text>
  </threadedComment>
  <threadedComment ref="R15" dT="2026-01-08T15:20:17.15" personId="{68794FB4-DF43-4D55-BF4D-33287E9AE6A0}" id="{7C4C0E6D-0695-457B-84F6-6E5480D8B504}" parentId="{CFB4D872-A057-479B-889D-A39C04EB0F38}">
    <text>671    7.000.000   
1031   7.000.000
944    2.000.000
667    6.000.000</text>
  </threadedComment>
  <threadedComment ref="R16" dT="2026-01-06T22:07:28.09" personId="{68794FB4-DF43-4D55-BF4D-33287E9AE6A0}" id="{A9175942-3EEC-4ADA-9735-200EEA3FFD7B}">
    <text>PP      VALOR 
915    3.000.000</text>
  </threadedComment>
  <threadedComment ref="R16" dT="2026-01-08T15:22:51.28" personId="{68794FB4-DF43-4D55-BF4D-33287E9AE6A0}" id="{349201FA-038B-4CF7-BE25-3A38F08A0633}" parentId="{A9175942-3EEC-4ADA-9735-200EEA3FFD7B}">
    <text>671     2.000.000
885    4.500.000
944    5.000.000</text>
  </threadedComment>
  <threadedComment ref="R17" dT="2026-01-08T18:04:59.20" personId="{68794FB4-DF43-4D55-BF4D-33287E9AE6A0}" id="{0BCDF6BE-0E1D-4596-9F89-FA2CC18E9D22}">
    <text>PP           VLR
593    9.800.000
920    8.000.000
670     7.000.000</text>
  </threadedComment>
  <threadedComment ref="R19" dT="2026-01-13T17:27:07.62" personId="{68794FB4-DF43-4D55-BF4D-33287E9AE6A0}" id="{A3C2833D-8B9E-4747-B77F-93C2CB3B995D}">
    <text>PP    VALOR 
1236     12.000.000</text>
  </threadedComment>
  <threadedComment ref="R20" dT="2026-01-05T19:10:09.78" personId="{68794FB4-DF43-4D55-BF4D-33287E9AE6A0}" id="{E7B50162-7160-44D4-BA67-826C3E9DF5DF}">
    <text>PP    VALOR 
585    5.000.000
603    7.000.000
882    14.000.000</text>
  </threadedComment>
  <threadedComment ref="R23" dT="2026-01-07T19:32:31.41" personId="{68794FB4-DF43-4D55-BF4D-33287E9AE6A0}" id="{3FF239E9-2C28-4E95-AEAD-B7EDDDCD0662}">
    <text>pp       VALOR
582        6.800.000</text>
  </threadedComment>
  <threadedComment ref="R23" dT="2026-01-07T20:10:34.41" personId="{68794FB4-DF43-4D55-BF4D-33287E9AE6A0}" id="{B79CEA61-729C-411B-BEAC-B93887F39BA7}" parentId="{3FF239E9-2C28-4E95-AEAD-B7EDDDCD0662}">
    <text>829    9.000.000
948     4.000.000</text>
  </threadedComment>
  <threadedComment ref="R25" dT="2026-01-05T15:21:48.92" personId="{68794FB4-DF43-4D55-BF4D-33287E9AE6A0}" id="{B69ED370-C380-42E3-80FE-00B7B10CAD8B}">
    <text>PP     VALOR
579   4.600.000
954   7.000.000</text>
  </threadedComment>
  <threadedComment ref="R25" dT="2026-01-08T18:05:30.88" personId="{68794FB4-DF43-4D55-BF4D-33287E9AE6A0}" id="{7327A209-70CE-4857-8D39-CAD8A95DA2F1}" parentId="{B69ED370-C380-42E3-80FE-00B7B10CAD8B}">
    <text>593     5.000.000
1031   3.500.000
1084    7.000.000
1179    12.800.000</text>
  </threadedComment>
  <threadedComment ref="R27" dT="2026-01-05T15:01:20.00" personId="{68794FB4-DF43-4D55-BF4D-33287E9AE6A0}" id="{7A1DEB67-3713-4A78-8654-8D96CB625964}">
    <text>PP    VALOR
573   7.000.000
581    6.000.000
583   8.800.000
932    7.000.000
949    7.800.000
1213  7.000.000
1256    10.500.000</text>
  </threadedComment>
  <threadedComment ref="R27" dT="2026-01-08T20:51:50.59" personId="{68794FB4-DF43-4D55-BF4D-33287E9AE6A0}" id="{33BC9968-7D1B-44C1-9670-5FA141371211}" parentId="{7A1DEB67-3713-4A78-8654-8D96CB625964}">
    <text>1089     7.000.000
1031    3.500.000
1084     7.000.000
1085    7.000.000
1091    7.000.000
1094    7.000.000
1101    7.000.000
1169     7.000.000
1179     1.200.000</text>
  </threadedComment>
  <threadedComment ref="R27" dT="2026-01-14T13:53:52.54" personId="{68794FB4-DF43-4D55-BF4D-33287E9AE6A0}" id="{BF91C84D-0111-4447-94E6-85D511680943}" parentId="{7A1DEB67-3713-4A78-8654-8D96CB625964}">
    <text>1413        7.000.000</text>
  </threadedComment>
  <threadedComment ref="S27" dT="2026-01-13T21:15:42.18" personId="{68794FB4-DF43-4D55-BF4D-33287E9AE6A0}" id="{CB934938-0011-4D78-A355-AB949D9F41F8}">
    <text>PP    CBPPP    VALOR 
583   135      8.800.000</text>
  </threadedComment>
  <threadedComment ref="R28" dT="2026-01-08T15:36:06.96" personId="{68794FB4-DF43-4D55-BF4D-33287E9AE6A0}" id="{C8EB528F-6C02-4E9A-832A-9A1274AA7DD4}">
    <text>PP           VALOR
933       22.000.000
932         7.000.000
990       11.200.000
949       7.000.000</text>
  </threadedComment>
  <threadedComment ref="R28" dT="2026-01-08T20:54:19.82" personId="{68794FB4-DF43-4D55-BF4D-33287E9AE6A0}" id="{0856A0DF-9C8A-4253-8806-FB1D1DEE6ABC}" parentId="{C8EB528F-6C02-4E9A-832A-9A1274AA7DD4}">
    <text>1089     7.000.000
933     22.000.000
1085    7.000.000
1091    7.000.000
1094    7.000.000
1101     7.000.000
1169     7.000.000</text>
  </threadedComment>
  <threadedComment ref="R28" dT="2026-01-14T13:54:42.13" personId="{68794FB4-DF43-4D55-BF4D-33287E9AE6A0}" id="{62E32F16-1532-4EFC-850F-79421B225576}" parentId="{C8EB528F-6C02-4E9A-832A-9A1274AA7DD4}">
    <text>1413     7.000.000</text>
  </threadedComment>
  <threadedComment ref="R35" dT="2026-01-05T14:33:06.14" personId="{68794FB4-DF43-4D55-BF4D-33287E9AE6A0}" id="{1D3D6A6B-AE8D-4E6B-814B-A18E98C83F19}">
    <text>PP    VALOR
576   5.600.000
585    9.000.000
598    7.000.000
1024   12.000.000
1081   12.000.000
1099   10.800.000
1254   7.200.000</text>
  </threadedComment>
  <threadedComment ref="R35" dT="2026-01-07T19:50:46.71" personId="{68794FB4-DF43-4D55-BF4D-33287E9AE6A0}" id="{DB98799D-8E8C-4460-A9DB-0FB03ACDB3E6}" parentId="{1D3D6A6B-AE8D-4E6B-814B-A18E98C83F19}">
    <text>907   12.800.000</text>
  </threadedComment>
  <threadedComment ref="R35" dT="2026-01-08T14:11:12.00" personId="{68794FB4-DF43-4D55-BF4D-33287E9AE6A0}" id="{280A8D24-6502-4E98-BC2E-250505F6FB27}" parentId="{1D3D6A6B-AE8D-4E6B-814B-A18E98C83F19}">
    <text>942     10.000.000</text>
  </threadedComment>
  <threadedComment ref="R35" dT="2026-01-08T14:16:37.24" personId="{68794FB4-DF43-4D55-BF4D-33287E9AE6A0}" id="{CE7670AF-43C3-443D-9B69-27B13F492CA0}" parentId="{1D3D6A6B-AE8D-4E6B-814B-A18E98C83F19}">
    <text>934    10.000.000
926     6.600.000
1033    11.600.000
1103     4.400.000
1250     7.000.000
605      4.200.000</text>
  </threadedComment>
  <threadedComment ref="R35" dT="2026-01-14T19:20:47.67" personId="{68794FB4-DF43-4D55-BF4D-33287E9AE6A0}" id="{5B6A9F62-467A-4152-8C6E-CEDBAEAE4B54}" parentId="{1D3D6A6B-AE8D-4E6B-814B-A18E98C83F19}">
    <text>1267            10.500.000</text>
  </threadedComment>
  <threadedComment ref="R37" dT="2026-01-05T15:22:34.76" personId="{68794FB4-DF43-4D55-BF4D-33287E9AE6A0}" id="{3340C846-DF62-4A76-8AF5-4C2EADB7CBC3}">
    <text>PP     VALOR
579   7.000.000
583   7.600.000
800     13.200.000
603    7.800.000
595    9.000.000
1248  10.000.000</text>
  </threadedComment>
  <threadedComment ref="R37" dT="2026-01-07T19:58:56.13" personId="{68794FB4-DF43-4D55-BF4D-33287E9AE6A0}" id="{7FF91159-CDFA-48B1-84DE-F508F25CE6CB}" parentId="{3340C846-DF62-4A76-8AF5-4C2EADB7CBC3}">
    <text>668    11.600.000</text>
  </threadedComment>
  <threadedComment ref="R37" dT="2026-01-07T20:12:35.33" personId="{68794FB4-DF43-4D55-BF4D-33287E9AE6A0}" id="{BC59076B-B3F3-43AD-B424-B89F101799CF}" parentId="{3340C846-DF62-4A76-8AF5-4C2EADB7CBC3}">
    <text>829    7.000.000</text>
  </threadedComment>
  <threadedComment ref="R37" dT="2026-01-08T14:32:55.46" personId="{68794FB4-DF43-4D55-BF4D-33287E9AE6A0}" id="{0FA2E1EB-5FB2-4194-9E13-BFE50FF0133B}" parentId="{3340C846-DF62-4A76-8AF5-4C2EADB7CBC3}">
    <text>952     13.200.000
819     7.000.000
885     6.000.000
604     14.000.000
920    1.000.000</text>
  </threadedComment>
  <threadedComment ref="R37" dT="2026-01-08T21:15:03.71" personId="{68794FB4-DF43-4D55-BF4D-33287E9AE6A0}" id="{12D75B24-B513-484B-96B7-6D5324F2CBA3}" parentId="{3340C846-DF62-4A76-8AF5-4C2EADB7CBC3}">
    <text>602       6.000.000</text>
  </threadedComment>
  <threadedComment ref="R37" dT="2026-01-09T19:59:22.09" personId="{68794FB4-DF43-4D55-BF4D-33287E9AE6A0}" id="{3AD6EC0A-CD77-405D-B603-D5C161DD78D4}" parentId="{3340C846-DF62-4A76-8AF5-4C2EADB7CBC3}">
    <text>1205         6.800.000</text>
  </threadedComment>
  <threadedComment ref="R37" dT="2026-01-13T16:03:54.11" personId="{68794FB4-DF43-4D55-BF4D-33287E9AE6A0}" id="{3FB66C31-F30A-4782-A6A7-7A8152189E48}" parentId="{3340C846-DF62-4A76-8AF5-4C2EADB7CBC3}">
    <text>1273       4.000.000
948    10.000.000
1251     10.000.000
667    8.000.000</text>
  </threadedComment>
  <threadedComment ref="S37" dT="2026-01-09T20:19:44.50" personId="{68794FB4-DF43-4D55-BF4D-33287E9AE6A0}" id="{F9504F03-6A6A-492C-B299-72B722F3FF32}">
    <text>PP    CBPP     VALOR
800    218      13.200.000
583    136     7.600.000</text>
  </threadedComment>
  <threadedComment ref="R39" dT="2026-01-05T14:34:43.48" personId="{68794FB4-DF43-4D55-BF4D-33287E9AE6A0}" id="{A2AD356E-0563-484E-A37A-C0D9B2A508E1}">
    <text>PP       VALOR
576     3.000.000
573     9.000.000
852    10.800.000
954     7.000.000
669     7.200.000
1277   5.000.000</text>
  </threadedComment>
  <threadedComment ref="R39" dT="2026-01-07T21:05:07.79" personId="{68794FB4-DF43-4D55-BF4D-33287E9AE6A0}" id="{072BE9BC-7476-4965-9E41-006A63528B0F}" parentId="{A2AD356E-0563-484E-A37A-C0D9B2A508E1}">
    <text>611     5.000.000
855     4.000.000</text>
  </threadedComment>
  <threadedComment ref="R39" dT="2026-01-08T17:30:59.61" personId="{68794FB4-DF43-4D55-BF4D-33287E9AE6A0}" id="{BE2F8FAE-0B46-4F99-B634-4292B41AC6F6}" parentId="{A2AD356E-0563-484E-A37A-C0D9B2A508E1}">
    <text>100     19.200.000
938      8.500.000</text>
  </threadedComment>
  <threadedComment ref="R39" dT="2026-01-14T16:30:58.01" personId="{68794FB4-DF43-4D55-BF4D-33287E9AE6A0}" id="{FFF9B859-C858-4643-B4E1-84406FC60888}" parentId="{A2AD356E-0563-484E-A37A-C0D9B2A508E1}">
    <text>608        7.500.000</text>
  </threadedComment>
  <threadedComment ref="R42" dT="2026-01-06T19:25:12.32" personId="{68794FB4-DF43-4D55-BF4D-33287E9AE6A0}" id="{A98F6BBD-94AB-40C5-BA38-829FF65B98D4}">
    <text>PP       VALOR
892     4.000.000
1255   11.600.000</text>
  </threadedComment>
  <threadedComment ref="R43" dT="2026-01-07T21:07:31.97" personId="{68794FB4-DF43-4D55-BF4D-33287E9AE6A0}" id="{88A2F519-FBB1-43E1-A831-4C6867C472D2}">
    <text>PP         VALOR
611    5.800.000
819     7.000.000</text>
  </threadedComment>
  <threadedComment ref="R44" dT="2026-01-05T15:46:16.70" personId="{68794FB4-DF43-4D55-BF4D-33287E9AE6A0}" id="{15F200B1-DEEE-4F83-8F9A-EBA6BD63A9CE}">
    <text xml:space="preserve">PP     VALOR 
581   8.800.000
998  11.200.000
993    8.400.000
</text>
  </threadedComment>
  <threadedComment ref="R44" dT="2026-01-08T21:18:02.46" personId="{68794FB4-DF43-4D55-BF4D-33287E9AE6A0}" id="{BEBC1224-19A9-4EA2-B48D-F68BFF9013CC}" parentId="{15F200B1-DEEE-4F83-8F9A-EBA6BD63A9CE}">
    <text>602    5.600.000
936    8.400.000
1103    4.000.000
621    5.800.000
1253   11.200.000</text>
  </threadedComment>
  <threadedComment ref="R44" dT="2026-01-14T19:28:39.61" personId="{68794FB4-DF43-4D55-BF4D-33287E9AE6A0}" id="{03C89460-4597-48B9-A427-6080C9B32F90}" parentId="{15F200B1-DEEE-4F83-8F9A-EBA6BD63A9CE}">
    <text>1274         8.400.000</text>
  </threadedComment>
  <threadedComment ref="R47" dT="2026-01-05T14:36:32.48" personId="{68794FB4-DF43-4D55-BF4D-33287E9AE6A0}" id="{70293518-678A-46B9-B612-3289E759EB04}">
    <text>PP   VALOR
576   3.000.000
595    5.000.000
855    7.200.000
1008   14.800.000
1213     7.800.000
1277   5.000.000</text>
  </threadedComment>
  <threadedComment ref="R47" dT="2026-01-13T15:59:29.50" personId="{68794FB4-DF43-4D55-BF4D-33287E9AE6A0}" id="{57DA52E2-FBE4-4476-A841-2E11F541924E}" parentId="{70293518-678A-46B9-B612-3289E759EB04}">
    <text>1273     6.000.000</text>
  </threadedComment>
  <threadedComment ref="R48" dT="2026-01-07T19:18:43.59" personId="{68794FB4-DF43-4D55-BF4D-33287E9AE6A0}" id="{778338A2-A585-403B-B893-04A1F64DB171}">
    <text>PP    VALOR 
623    14.000.000</text>
  </threadedComment>
  <threadedComment ref="R52" dT="2026-01-13T21:25:57.17" personId="{5BEB30C7-49E5-4A2B-8017-89B48CEA3826}" id="{C22D0CA0-445F-4D7B-9CEA-076B41AA1786}">
    <text xml:space="preserve">  PP   VALOR
605    7.000.000</text>
  </threadedComment>
</ThreadedComments>
</file>

<file path=xl/threadedComments/threadedComment6.xml><?xml version="1.0" encoding="utf-8"?>
<ThreadedComments xmlns="http://schemas.microsoft.com/office/spreadsheetml/2018/threadedcomments" xmlns:x="http://schemas.openxmlformats.org/spreadsheetml/2006/main">
  <threadedComment ref="R11" dT="2026-01-06T14:18:24.64" personId="{68794FB4-DF43-4D55-BF4D-33287E9AE6A0}" id="{75D89B76-DC6C-4F44-97A4-EA48FDD93DBE}">
    <text>PP    VALOR 
152    93.330.000</text>
  </threadedComment>
  <threadedComment ref="R15" dT="2026-01-05T16:13:47.09" personId="{68794FB4-DF43-4D55-BF4D-33287E9AE6A0}" id="{F54DB055-BF54-43B2-9A36-2AD757F8D157}">
    <text>PP    VALOR 
633    14.800.000
359   16.000.000
816    5.500.000
757     7.400.000
741   16.000.000
762      6.000.000
1417     14.800.000
1397     14.800.000
1421      7.400.000</text>
  </threadedComment>
  <threadedComment ref="R18" dT="2026-01-08T17:33:36.16" personId="{68794FB4-DF43-4D55-BF4D-33287E9AE6A0}" id="{A96CF017-DB4A-4F3C-BDED-66B1683AA76E}">
    <text>PP       VLR
100   20.000.000
757    7.400.000
762     6.000.000
1421   7.400.000</text>
  </threadedComment>
  <threadedComment ref="R18" dT="2026-01-14T15:21:12.90" personId="{68794FB4-DF43-4D55-BF4D-33287E9AE6A0}" id="{595322B6-E329-4F9E-BD54-044A6F2D139F}" parentId="{A96CF017-DB4A-4F3C-BDED-66B1683AA76E}">
    <text>867     7.400.000</text>
  </threadedComment>
  <threadedComment ref="R24" dT="2026-01-05T19:19:43.88" personId="{68794FB4-DF43-4D55-BF4D-33287E9AE6A0}" id="{A3FF6BA8-DA1C-42AE-A8D4-BA443E8EE60D}">
    <text>PP    VALOR 
572    14.800.000
607   6.000.000</text>
  </threadedComment>
  <threadedComment ref="R25" dT="2026-01-05T20:27:19.94" personId="{68794FB4-DF43-4D55-BF4D-33287E9AE6A0}" id="{839D5C92-628E-4420-A3ED-C981D9793B43}">
    <text>PP    VALOR
607    6.000.000
592     14.400.000
181    4.000.000</text>
  </threadedComment>
  <threadedComment ref="R26" dT="2026-01-05T23:57:06.47" personId="{68794FB4-DF43-4D55-BF4D-33287E9AE6A0}" id="{7114B2D8-7A96-47C2-B5A9-C299E883C748}">
    <text>PP            VALOR 
645       14.800.000
1419     16.000.000</text>
  </threadedComment>
  <threadedComment ref="R26" dT="2026-01-07T22:37:07.05" personId="{68794FB4-DF43-4D55-BF4D-33287E9AE6A0}" id="{35F8587B-4F37-4EB3-8C80-CD63B8396CBE}" parentId="{7114B2D8-7A96-47C2-B5A9-C299E883C748}">
    <text>1064    5.600.000</text>
  </threadedComment>
  <threadedComment ref="R28" dT="2026-01-07T21:34:40.02" personId="{68794FB4-DF43-4D55-BF4D-33287E9AE6A0}" id="{78BD7C60-E1CB-4379-A10D-AC8BE7F404A3}">
    <text>PP    VALOR 
153   36.000.000</text>
  </threadedComment>
  <threadedComment ref="R31" dT="2026-01-06T13:34:35.10" personId="{68794FB4-DF43-4D55-BF4D-33287E9AE6A0}" id="{01EEC614-B54A-4588-9880-412AEDE58B70}">
    <text>PP     VALOR 
181    6.000.000
816    5.000.000</text>
  </threadedComment>
  <threadedComment ref="R31" dT="2026-01-08T17:36:51.70" personId="{68794FB4-DF43-4D55-BF4D-33287E9AE6A0}" id="{EEA20985-2FBE-44D7-A141-A08C9392D13C}" parentId="{01EEC614-B54A-4588-9880-412AEDE58B70}">
    <text>100      20.000.000</text>
  </threadedComment>
  <threadedComment ref="R32" dT="2026-01-05T20:28:03.40" personId="{68794FB4-DF43-4D55-BF4D-33287E9AE6A0}" id="{C134ED23-04D5-42F7-8571-D658B8FB68E5}">
    <text>PP    VALOR
607    6.000.000
265    14.400.000
1458    7.400.000</text>
  </threadedComment>
  <threadedComment ref="R32" dT="2026-01-07T22:30:30.47" personId="{68794FB4-DF43-4D55-BF4D-33287E9AE6A0}" id="{ABA7CAF2-C54C-46C0-B8CF-C36CBE5F5A31}" parentId="{C134ED23-04D5-42F7-8571-D658B8FB68E5}">
    <text>814     14.800.000
1064    5.600.000</text>
  </threadedComment>
  <threadedComment ref="R34" dT="2026-01-05T19:46:58.05" personId="{68794FB4-DF43-4D55-BF4D-33287E9AE6A0}" id="{D3E2E769-8999-459D-AE5E-71640053510E}">
    <text>PP    VALOR
619    14.800.000
181     6.000.000
986    14.800.000</text>
  </threadedComment>
  <threadedComment ref="R34" dT="2026-01-07T22:08:39.72" personId="{68794FB4-DF43-4D55-BF4D-33287E9AE6A0}" id="{EFAD6657-DE11-40C5-B956-C11058FCDEE3}" parentId="{D3E2E769-8999-459D-AE5E-71640053510E}">
    <text>399     16.000.000
612     16.000.000
1070   9.600.000
921     14.800.000
1030   14.800.000</text>
  </threadedComment>
  <threadedComment ref="R34" dT="2026-01-09T22:08:05.94" personId="{68794FB4-DF43-4D55-BF4D-33287E9AE6A0}" id="{5C759B2F-5073-488F-ACA4-D54066BFA362}" parentId="{D3E2E769-8999-459D-AE5E-71640053510E}">
    <text xml:space="preserve">921          14.800,000
</text>
  </threadedComment>
  <threadedComment ref="R34" dT="2026-01-13T22:36:49.67" personId="{5BEB30C7-49E5-4A2B-8017-89B48CEA3826}" id="{A3B1BEED-F00D-4D6A-B3D8-9D83DA4DD580}" parentId="{D3E2E769-8999-459D-AE5E-71640053510E}">
    <text/>
  </threadedComment>
  <threadedComment ref="R34" dT="2026-01-14T15:23:23.59" personId="{68794FB4-DF43-4D55-BF4D-33287E9AE6A0}" id="{667DD5E6-7FDE-43AB-A02E-6D6B1E5F0E51}" parentId="{D3E2E769-8999-459D-AE5E-71640053510E}">
    <text>867     7.400.000</text>
  </threadedComment>
  <threadedComment ref="R37" dT="2026-01-09T21:57:58.58" personId="{5BEB30C7-49E5-4A2B-8017-89B48CEA3826}" id="{CD5BA3F5-1521-4F8E-AD11-7B615543B4E2}">
    <text xml:space="preserve">    PP    VALOR
  854   14.800.000</text>
  </threadedComment>
  <threadedComment ref="R37" dT="2026-01-14T15:40:28.70" personId="{68794FB4-DF43-4D55-BF4D-33287E9AE6A0}" id="{40070CD7-91AE-4BD3-BF4A-802E6923C41B}" parentId="{CD5BA3F5-1521-4F8E-AD11-7B615543B4E2}">
    <text>1466      12.000.000</text>
  </threadedComment>
  <threadedComment ref="R38" dT="2026-01-09T21:59:01.78" personId="{68794FB4-DF43-4D55-BF4D-33287E9AE6A0}" id="{7DBCA71C-D1B3-4B94-94DB-F12BD87AB47C}">
    <text>PP               VALOR
838                 14.800.000
848                 18.000.000</text>
  </threadedComment>
  <threadedComment ref="R39" dT="2026-01-09T22:37:47.57" personId="{68794FB4-DF43-4D55-BF4D-33287E9AE6A0}" id="{15E081BB-F327-4885-BFA8-82D48D77C010}">
    <text>PP     VALOR 
768     4.000.000</text>
  </threadedComment>
  <threadedComment ref="R40" dT="2026-01-06T13:47:29.67" personId="{68794FB4-DF43-4D55-BF4D-33287E9AE6A0}" id="{4A6B149F-3EC2-420F-AE47-B972432B2CF6}">
    <text>PP     VALOR 
754    7.400.000
975    14.800.000</text>
  </threadedComment>
  <threadedComment ref="R40" dT="2026-01-07T22:37:43.37" personId="{68794FB4-DF43-4D55-BF4D-33287E9AE6A0}" id="{448DD602-BA04-4041-9484-AF75DCB4E796}" parentId="{4A6B149F-3EC2-420F-AE47-B972432B2CF6}">
    <text>1064      5.600.000</text>
  </threadedComment>
  <threadedComment ref="R41" dT="2026-01-06T13:46:56.29" personId="{68794FB4-DF43-4D55-BF4D-33287E9AE6A0}" id="{43C3EE42-4984-461E-A2FB-8A0378939AA2}">
    <text>PP     VALOR 
754    7.400.000</text>
  </threadedComment>
  <threadedComment ref="R41" dT="2026-01-09T16:09:29.80" personId="{68794FB4-DF43-4D55-BF4D-33287E9AE6A0}" id="{1D97B21E-D834-4AD9-94CE-7CAD61454DB4}" parentId="{43C3EE42-4984-461E-A2FB-8A0378939AA2}">
    <text>988       4.000.000
918     4.000.000
979     4.000.000
992      4.000.000</text>
  </threadedComment>
  <threadedComment ref="R42" dT="2026-01-09T14:05:20.42" personId="{5BEB30C7-49E5-4A2B-8017-89B48CEA3826}" id="{A532FC3D-F5BA-4369-8CBE-3650BE6B80E8}">
    <text>PP     VALOR 
984    16.000.000</text>
  </threadedComment>
  <threadedComment ref="R42" dT="2026-01-09T20:03:06.90" personId="{68794FB4-DF43-4D55-BF4D-33287E9AE6A0}" id="{17C8C2BA-82FC-44E1-ADEE-205B0ED393AB}" parentId="{A532FC3D-F5BA-4369-8CBE-3650BE6B80E8}">
    <text>992     12.000.000
1140     14.800.000
794      16.000.000</text>
  </threadedComment>
  <threadedComment ref="R43" dT="2026-01-07T14:25:10.38" personId="{68794FB4-DF43-4D55-BF4D-33287E9AE6A0}" id="{F9F17E1E-2971-4408-9219-527C500F8E46}">
    <text>PP     VALOR 
816    5.500.000
901  18.600.000</text>
  </threadedComment>
  <threadedComment ref="R43" dT="2026-01-09T16:11:10.68" personId="{68794FB4-DF43-4D55-BF4D-33287E9AE6A0}" id="{953F2125-65FF-4C78-8007-9483E5420B42}" parentId="{F9F17E1E-2971-4408-9219-527C500F8E46}">
    <text>988        12.000.000
918     12.000.000
979      12.000.000
768       12.000.000</text>
  </threadedComment>
  <threadedComment ref="R47" dT="2026-01-08T17:36:13.48" personId="{68794FB4-DF43-4D55-BF4D-33287E9AE6A0}" id="{F84C84D5-8927-4FEB-ABE3-B31E5CB02D4E}">
    <text>PP        VLR
100    10.000.000
1187  16.000.000</text>
  </threadedComment>
  <threadedComment ref="R47" dT="2026-01-14T15:18:50.27" personId="{68794FB4-DF43-4D55-BF4D-33287E9AE6A0}" id="{D9376A9A-A406-4ED4-BE6F-425345B14D35}" parentId="{F84C84D5-8927-4FEB-ABE3-B31E5CB02D4E}">
    <text>1471      14.800.000</text>
  </threadedComment>
  <threadedComment ref="R47" dT="2026-01-14T15:26:51.84" personId="{68794FB4-DF43-4D55-BF4D-33287E9AE6A0}" id="{527DA122-448F-4453-AAC5-5DC21315D14C}" parentId="{F84C84D5-8927-4FEB-ABE3-B31E5CB02D4E}">
    <text>867         7.400.000</text>
  </threadedComment>
  <threadedComment ref="R52" dT="2026-01-07T21:30:23.00" personId="{68794FB4-DF43-4D55-BF4D-33287E9AE6A0}" id="{FF10B2BD-5916-4ACD-A8DE-AAF884155711}">
    <text>PP    VALOR 
161   17.550.000</text>
  </threadedComment>
  <threadedComment ref="R53" dT="2026-01-07T22:35:44.02" personId="{68794FB4-DF43-4D55-BF4D-33287E9AE6A0}" id="{18DE130B-DFC9-43CA-81A8-7431DA0FA01F}">
    <text>PP         VLR
911   16.000.000</text>
  </threadedComment>
  <threadedComment ref="R56" dT="2026-01-09T19:56:13.31" personId="{68794FB4-DF43-4D55-BF4D-33287E9AE6A0}" id="{E9402D7F-3D8B-47B9-B25F-925B4F56C152}">
    <text>PP        VALOR 
1135     14.800.000</text>
  </threadedComment>
  <threadedComment ref="R57" dT="2026-01-07T22:33:30.90" personId="{68794FB4-DF43-4D55-BF4D-33287E9AE6A0}" id="{0ABCC8B2-3AE6-41C2-BE6D-E0013A1779AC}">
    <text>PP            VLR
901   3.600.000
1141  16.000.000</text>
  </threadedComment>
  <threadedComment ref="R57" dT="2026-01-14T15:21:56.57" personId="{68794FB4-DF43-4D55-BF4D-33287E9AE6A0}" id="{089CF37F-B1DE-495B-86EC-A0183B9F315E}" parentId="{0ABCC8B2-3AE6-41C2-BE6D-E0013A1779AC}">
    <text>1479       12.000.000</text>
  </threadedComment>
  <threadedComment ref="R58" dT="2026-01-09T20:44:16.83" personId="{5BEB30C7-49E5-4A2B-8017-89B48CEA3826}" id="{5F3F3B3B-A796-43F0-BBE4-AE8661C8E963}">
    <text>PP                VALOR
1144             9.200.000</text>
  </threadedComment>
  <threadedComment ref="R58" dT="2026-01-09T22:46:25.32" personId="{68794FB4-DF43-4D55-BF4D-33287E9AE6A0}" id="{B3B92288-C6B5-4F25-8B93-F6D516FC7B2C}" parentId="{5F3F3B3B-A796-43F0-BBE4-AE8661C8E963}">
    <text>1161      8.000.000
1170     14.800.000</text>
  </threadedComment>
  <threadedComment ref="R60" dT="2026-01-08T17:32:22.25" personId="{68794FB4-DF43-4D55-BF4D-33287E9AE6A0}" id="{41CCFFD6-3223-45D7-8248-79F77BB36492}">
    <text>PP         VLR
100   10.000.000
1144    8.000.000</text>
  </threadedComment>
  <threadedComment ref="R60" dT="2026-01-09T15:58:44.17" personId="{68794FB4-DF43-4D55-BF4D-33287E9AE6A0}" id="{5276B7AF-E19B-40CB-8B68-99D871337148}" parentId="{41CCFFD6-3223-45D7-8248-79F77BB36492}">
    <text>1002       90.000.000
1161     9.200.000</text>
  </threadedComment>
  <threadedComment ref="R63" dT="2026-01-13T20:38:05.18" personId="{68794FB4-DF43-4D55-BF4D-33287E9AE6A0}" id="{ABE49F8D-9557-4F68-8310-F01BC59472F2}">
    <text>PP    VALOR 
1003    14.800.000
1458    7.400.000</text>
  </threadedComment>
</ThreadedComments>
</file>

<file path=xl/threadedComments/threadedComment7.xml><?xml version="1.0" encoding="utf-8"?>
<ThreadedComments xmlns="http://schemas.microsoft.com/office/spreadsheetml/2018/threadedcomments" xmlns:x="http://schemas.openxmlformats.org/spreadsheetml/2006/main">
  <threadedComment ref="R10" dT="2026-01-05T15:57:59.90" personId="{68794FB4-DF43-4D55-BF4D-33287E9AE6A0}" id="{CAF5432C-764A-4D06-B841-15CB5E4872BD}">
    <text>PP     VALOR 
656    16.000.000</text>
  </threadedComment>
  <threadedComment ref="R11" dT="2026-01-05T16:27:22.44" personId="{68794FB4-DF43-4D55-BF4D-33287E9AE6A0}" id="{852ABFC7-58EA-401B-A53C-8A2E815CDF98}">
    <text>PP       VALOR 
742      16.000.000</text>
  </threadedComment>
  <threadedComment ref="R12" dT="2026-01-07T15:15:55.05" personId="{68794FB4-DF43-4D55-BF4D-33287E9AE6A0}" id="{0245CD84-108D-4DA7-A154-F5309BC003D5}">
    <text>PP    VALOR 
761    14.000.000</text>
  </threadedComment>
  <threadedComment ref="R13" dT="2026-01-07T15:16:29.63" personId="{68794FB4-DF43-4D55-BF4D-33287E9AE6A0}" id="{FF05A14F-1D10-47B0-BA10-BCD4851B7F94}">
    <text>PP    VALOR 
761   2.000.000</text>
  </threadedComment>
  <threadedComment ref="R14" dT="2026-01-07T20:52:29.58" personId="{68794FB4-DF43-4D55-BF4D-33287E9AE6A0}" id="{B1D12FCF-FAA2-4BC2-A3D8-96BA2AB63E36}">
    <text>PP        VALOR
804        16.000.000</text>
  </threadedComment>
  <threadedComment ref="R16" dT="2026-01-07T15:19:06.39" personId="{68794FB4-DF43-4D55-BF4D-33287E9AE6A0}" id="{9F0211B9-BB71-4981-A1EF-CBA5674A5A50}">
    <text>PP     VALOR 
753   4.600.000</text>
  </threadedComment>
  <threadedComment ref="R17" dT="2026-01-07T15:21:30.58" personId="{68794FB4-DF43-4D55-BF4D-33287E9AE6A0}" id="{009AB4A8-F577-457D-B49D-248B909AE855}">
    <text>PP     VALOR 
753   10.200.000</text>
  </threadedComment>
  <threadedComment ref="R19" dT="2026-01-06T22:14:30.96" personId="{68794FB4-DF43-4D55-BF4D-33287E9AE6A0}" id="{D0552E2C-4DA3-4AD6-BCE7-713D5DB0CEEF}">
    <text>PP     VALOR
820    10.000.000
878     16.000.000</text>
  </threadedComment>
  <threadedComment ref="R20" dT="2026-01-06T21:56:12.94" personId="{68794FB4-DF43-4D55-BF4D-33287E9AE6A0}" id="{A1B90549-2163-4683-B81E-6B2003487576}">
    <text>835     12.000.000
846     14.800.000
1097   14.800.000
1172    14.800.000
1375    4.300.000</text>
  </threadedComment>
  <threadedComment ref="R21" dT="2026-01-07T21:35:33.93" personId="{68794FB4-DF43-4D55-BF4D-33287E9AE6A0}" id="{13D5A36E-B9F6-4819-BCFE-0176584E53F1}">
    <text>PP         VALOR
928       16.000.000
1004     10.800.000
1154     10.800.000</text>
  </threadedComment>
  <threadedComment ref="R21" dT="2026-01-09T19:27:29.06" personId="{68794FB4-DF43-4D55-BF4D-33287E9AE6A0}" id="{A653CD53-A5F8-4E5C-A2A4-EED2A95D7F64}" parentId="{13D5A36E-B9F6-4819-BCFE-0176584E53F1}">
    <text xml:space="preserve">989          5.600.000
</text>
  </threadedComment>
  <threadedComment ref="R22" dT="2026-01-09T19:29:29.57" personId="{68794FB4-DF43-4D55-BF4D-33287E9AE6A0}" id="{746DB99D-F960-4D6C-AE35-E102225F080F}">
    <text>PP              VALOR
989             9.200.000
996           14.800.000</text>
  </threadedComment>
  <threadedComment ref="R23" dT="2026-01-06T22:32:59.39" personId="{68794FB4-DF43-4D55-BF4D-33287E9AE6A0}" id="{84EE202C-F695-45BB-8965-FA2B893FA1DF}">
    <text>PP          VALOR
840       10.800.000
1160     14.800.000
1394     14.800.000
923       14.800.000</text>
  </threadedComment>
  <threadedComment ref="R24" dT="2026-01-06T22:15:34.65" personId="{68794FB4-DF43-4D55-BF4D-33287E9AE6A0}" id="{8881FAC9-FBAB-4E01-A4DE-C05A54E07AC7}">
    <text xml:space="preserve">PP    VALOR 
820   2.000.000
</text>
  </threadedComment>
  <threadedComment ref="R24" dT="2026-01-08T18:20:32.11" personId="{68794FB4-DF43-4D55-BF4D-33287E9AE6A0}" id="{2139BA47-2971-4BD9-B2E6-2516CC2A30B5}" parentId="{8881FAC9-FBAB-4E01-A4DE-C05A54E07AC7}">
    <text>807     14.800.000</text>
  </threadedComment>
  <threadedComment ref="R24" dT="2026-01-14T15:11:37.45" personId="{68794FB4-DF43-4D55-BF4D-33287E9AE6A0}" id="{6E5E7CF8-824A-4D4C-9F29-88821A9833CE}" parentId="{8881FAC9-FBAB-4E01-A4DE-C05A54E07AC7}">
    <text>1375    10.500.000
1409    14.800.000</text>
  </threadedComment>
  <threadedComment ref="S24" dT="2026-01-07T20:36:39.23" personId="{68794FB4-DF43-4D55-BF4D-33287E9AE6A0}" id="{BCF28358-4AAA-47CD-A111-DF62DA2BEDE5}">
    <text>PP       VALOR
807      14.800.000</text>
  </threadedComment>
  <threadedComment ref="R25" dT="2026-01-06T22:20:30.21" personId="{68794FB4-DF43-4D55-BF4D-33287E9AE6A0}" id="{CF302A21-9C7D-4CED-9C4D-B99903DF85EA}">
    <text>PP    VALOR 
890   12.600.000</text>
  </threadedComment>
  <threadedComment ref="R27" dT="2026-01-14T14:59:57.69" personId="{68794FB4-DF43-4D55-BF4D-33287E9AE6A0}" id="{1546E2A5-5D42-4C52-B073-68C9B5639145}">
    <text xml:space="preserve">1394    14.800.000
</text>
  </threadedComment>
  <threadedComment ref="R28" dT="2026-01-09T19:29:49.34" personId="{5BEB30C7-49E5-4A2B-8017-89B48CEA3826}" id="{53965F7D-9884-4800-AB7D-987C74EAB736}">
    <text>PP         VLR
1142     14.800.000
1176     14.800.000</text>
  </threadedComment>
  <threadedComment ref="R29" dT="2026-01-14T14:53:52.01" personId="{68794FB4-DF43-4D55-BF4D-33287E9AE6A0}" id="{AB19EB0D-910F-4A29-9537-74F8D873B84E}">
    <text>PP            VALOR
1387     14.800.000</text>
  </threadedComment>
  <threadedComment ref="R33" dT="2026-01-08T18:09:22.37" personId="{68794FB4-DF43-4D55-BF4D-33287E9AE6A0}" id="{818F29D3-5D1A-4CEA-B957-3A9DA0E631BA}">
    <text>PP            VLR
913      76.482.482.75
903      20.000.000
910      100.000.000</text>
  </threadedComment>
  <threadedComment ref="R34" dT="2026-01-08T17:31:48.84" personId="{68794FB4-DF43-4D55-BF4D-33287E9AE6A0}" id="{D11E75C3-D98F-43D9-AA26-43FB274A8F40}">
    <text>PP       VLR
100   60.000.000</text>
  </threadedComment>
  <threadedComment ref="R35" dT="2026-01-06T22:11:09.70" personId="{68794FB4-DF43-4D55-BF4D-33287E9AE6A0}" id="{E2208FC2-A3DC-4557-9F41-D256E98F7FF1}">
    <text>PP     VALOR 
898   14.800.000
890    2.200.000
1146  14.800.000</text>
  </threadedComment>
  <threadedComment ref="R35" dT="2026-01-09T20:45:53.88" personId="{68794FB4-DF43-4D55-BF4D-33287E9AE6A0}" id="{4C080B73-0168-451F-9F74-CD830450D035}" parentId="{E2208FC2-A3DC-4557-9F41-D256E98F7FF1}">
    <text>1168       6.900.000</text>
  </threadedComment>
  <threadedComment ref="R36" dT="2026-01-08T18:07:23.69" personId="{68794FB4-DF43-4D55-BF4D-33287E9AE6A0}" id="{5DFD5050-4DD3-4AB2-BE5D-6E83D4246268}">
    <text>PP             VLR
815    14.800.000</text>
  </threadedComment>
  <threadedComment ref="S36" dT="2026-01-09T20:48:13.80" personId="{68794FB4-DF43-4D55-BF4D-33287E9AE6A0}" id="{6C1BAB55-A491-4D94-92E9-CF464866C797}">
    <text>PP         VALOR
1168      3.900.000</text>
  </threadedComment>
  <threadedComment ref="R38" dT="2026-01-08T18:08:47.82" personId="{68794FB4-DF43-4D55-BF4D-33287E9AE6A0}" id="{CCF3B203-373F-4C8C-8E60-0E776F1165CB}">
    <text>PP             VLR
913       123.517.517.25
922      60.000.000</text>
  </threadedComment>
  <threadedComment ref="R39" dT="2026-01-05T15:50:37.83" personId="{68794FB4-DF43-4D55-BF4D-33287E9AE6A0}" id="{ADF89311-F59D-41AC-987D-18BC07543349}">
    <text>PP      VALOR 
548     14.800.000
738     16.000.000
793     14.800.000</text>
  </threadedComment>
  <threadedComment ref="R39" dT="2026-01-08T14:47:43.16" personId="{68794FB4-DF43-4D55-BF4D-33287E9AE6A0}" id="{B467F240-4498-48A7-8B79-37E3C561AE7F}" parentId="{ADF89311-F59D-41AC-987D-18BC07543349}">
    <text>746     14.800.000</text>
  </threadedComment>
  <threadedComment ref="R40" dT="2026-01-05T16:06:18.69" personId="{68794FB4-DF43-4D55-BF4D-33287E9AE6A0}" id="{783AEAD4-9C5D-47C2-BA1A-F2300FD5B6CC}">
    <text>PP      VALOR 
627    14.800.000</text>
  </threadedComment>
  <threadedComment ref="R40" dT="2026-01-09T19:36:44.09" personId="{68794FB4-DF43-4D55-BF4D-33287E9AE6A0}" id="{D46CD652-EFD2-4A9C-B02E-751485EF790E}" parentId="{783AEAD4-9C5D-47C2-BA1A-F2300FD5B6CC}">
    <text>1086       14.800.000</text>
  </threadedComment>
</ThreadedComments>
</file>

<file path=xl/threadedComments/threadedComment8.xml><?xml version="1.0" encoding="utf-8"?>
<ThreadedComments xmlns="http://schemas.microsoft.com/office/spreadsheetml/2018/threadedcomments" xmlns:x="http://schemas.openxmlformats.org/spreadsheetml/2006/main">
  <threadedComment ref="R11" dT="2026-01-05T14:42:33.20" personId="{68794FB4-DF43-4D55-BF4D-33287E9AE6A0}" id="{52BEFBD7-8FA4-4584-ACE0-04CEC87A7E08}">
    <text>PP   VALOR
215   14.800.000
231    12.800.000
263     16.000.000
278     14.800.000
318   22.000.000</text>
  </threadedComment>
  <threadedComment ref="R12" dT="2026-01-02T22:51:18.08" personId="{68794FB4-DF43-4D55-BF4D-33287E9AE6A0}" id="{466B060B-7594-45DC-B6B2-8F8BFF29EE94}">
    <text>PP         VLR
134   1.850.000
412    22.200.000
439    12.000.000
427    14.800.000
364    10.800.000
249    14.800.000
446     14.800.000
387    14.800.000
462    10.800.000
383    16.000.000
1509   14.800.000</text>
  </threadedComment>
  <threadedComment ref="R13" dT="2026-01-08T17:26:18.58" personId="{68794FB4-DF43-4D55-BF4D-33287E9AE6A0}" id="{E52EDD95-6E90-4662-8399-F495E18BD3F7}">
    <text>PP         VLR
100     90.000.000</text>
  </threadedComment>
  <threadedComment ref="R14" dT="2026-01-06T21:40:43.14" personId="{68794FB4-DF43-4D55-BF4D-33287E9AE6A0}" id="{3B1CDDBD-A875-4E3E-82C9-DDC082DB3195}">
    <text>335      12.000.000
441      14.800.000
440       20.000.000
437        9.200.000
441       14.800.000
253        9.200.000
436        9.200.000
440       20.000.000
438       14.800.000
447       12.000.000
449       16.000.000
443       14.800.000
382        10.800.000
448       14.800.000</text>
  </threadedComment>
  <threadedComment ref="R14" dT="2026-01-08T16:06:36.09" personId="{68794FB4-DF43-4D55-BF4D-33287E9AE6A0}" id="{F0E55F87-E75C-4C44-91AB-09EE907A34FD}" parentId="{3B1CDDBD-A875-4E3E-82C9-DDC082DB3195}">
    <text>452     9.200.000</text>
  </threadedComment>
  <threadedComment ref="R14" dT="2026-01-08T16:14:30.93" personId="{68794FB4-DF43-4D55-BF4D-33287E9AE6A0}" id="{1E20D2C8-6501-42A5-B9B1-B4CBFC621F9B}" parentId="{3B1CDDBD-A875-4E3E-82C9-DDC082DB3195}">
    <text>450       9.200.000</text>
  </threadedComment>
</ThreadedComments>
</file>

<file path=xl/threadedComments/threadedComment9.xml><?xml version="1.0" encoding="utf-8"?>
<ThreadedComments xmlns="http://schemas.microsoft.com/office/spreadsheetml/2018/threadedcomments" xmlns:x="http://schemas.openxmlformats.org/spreadsheetml/2006/main">
  <threadedComment ref="R11" dT="2026-01-06T22:45:32.86" personId="{68794FB4-DF43-4D55-BF4D-33287E9AE6A0}" id="{C71CA411-E414-4537-8C61-6C773D298432}">
    <text>839    11.100.000</text>
  </threadedComment>
  <threadedComment ref="R21" dT="2026-01-08T14:53:56.58" personId="{68794FB4-DF43-4D55-BF4D-33287E9AE6A0}" id="{DF1D470D-CA37-40BA-B421-8D4632A979B7}">
    <text>PP    VALOR 
790    14.800.000</text>
  </threadedComment>
  <threadedComment ref="R26" dT="2026-01-08T14:59:01.38" personId="{68794FB4-DF43-4D55-BF4D-33287E9AE6A0}" id="{B59A3209-A4FE-4078-8373-DA98B0087BF9}">
    <text>PP     VALOR 
827     16.000.000</text>
  </threadedComment>
  <threadedComment ref="R27" dT="2026-01-14T16:16:34.50" personId="{68794FB4-DF43-4D55-BF4D-33287E9AE6A0}" id="{9706F64A-AF27-43FB-B338-FAA1AB6DAE5C}">
    <text>792      14.800.000</text>
  </threadedComment>
  <threadedComment ref="R30" dT="2026-01-08T14:56:07.86" personId="{68794FB4-DF43-4D55-BF4D-33287E9AE6A0}" id="{03E48DA9-B0B4-4691-B976-E7488CE74982}">
    <text>PP     VALOR 
833   12.000.000</text>
  </threadedComment>
  <threadedComment ref="R32" dT="2026-01-13T14:29:38.36" personId="{68794FB4-DF43-4D55-BF4D-33287E9AE6A0}" id="{5FD2EC19-F5CC-44AA-9529-36F3ADDA21F1}">
    <text>PP            VALOR
1281     16.000.000</text>
  </threadedComment>
  <threadedComment ref="Q34" dT="2026-01-05T21:13:26.47" personId="{5BEB30C7-49E5-4A2B-8017-89B48CEA3826}" id="{8ECB9D84-4CDF-41FC-851E-82C979092D2C}">
    <text>Contracredito según Decreto 006 $604.981.944</text>
  </threadedComment>
  <threadedComment ref="Q35" dT="2026-01-05T21:17:10.52" personId="{5BEB30C7-49E5-4A2B-8017-89B48CEA3826}" id="{6B85218B-FCB1-4971-8C0A-9504EF274103}">
    <text>Credito según Decreto 006 $604.981.944
Redución según Decreto 0014 7-1-2026 $19.145.893</text>
  </threadedComment>
  <threadedComment ref="R41" dT="2026-01-06T22:27:37.76" personId="{68794FB4-DF43-4D55-BF4D-33287E9AE6A0}" id="{48097F88-8DC7-420A-B579-A862A3F8F8CC}">
    <text>PP          VALOR
808     16.000.000</text>
  </threadedComment>
  <threadedComment ref="R42" dT="2026-01-08T15:01:55.55" personId="{68794FB4-DF43-4D55-BF4D-33287E9AE6A0}" id="{FE6E951B-05DE-4F98-B5E9-0CD685F56AAD}">
    <text>PP    VALOR 
798    16.000.000
843     14.800.000</text>
  </threadedComment>
  <threadedComment ref="T43" dT="2026-01-09T16:15:42.43" personId="{5BEB30C7-49E5-4A2B-8017-89B48CEA3826}" id="{EA67C263-92D7-4206-BEDF-950BAFF84541}">
    <text>AJUSTE PENDIENTE POR REALIZAR</text>
  </threadedComment>
  <threadedComment ref="Q44" dT="2026-01-06T21:13:02.51" personId="{5BEB30C7-49E5-4A2B-8017-89B48CEA3826}" id="{149E898D-D763-4A8D-8945-58CE139C78B8}">
    <text>Contacredito según Decreto  006 $15.172.076.484</text>
  </threadedComment>
  <threadedComment ref="Q45" dT="2026-01-06T21:24:54.16" personId="{5BEB30C7-49E5-4A2B-8017-89B48CEA3826}" id="{8FC316AA-7095-44C4-B6EE-B6B8D78BC077}">
    <text>credito según Decreto  006 $15.172.076.484
Adición según Decreto 0014 06-0-2026 $9.102.444.812</text>
  </threadedComment>
  <threadedComment ref="R45" dT="2026-01-08T13:49:31.09" personId="{68794FB4-DF43-4D55-BF4D-33287E9AE6A0}" id="{3BBEDF89-62EB-4A22-84D0-BB58CA1F1622}">
    <text>PP     VALOR 
138   21.662.513.384,71</text>
  </threadedComment>
  <threadedComment ref="Q46" dT="2026-01-06T21:13:58.25" personId="{5BEB30C7-49E5-4A2B-8017-89B48CEA3826}" id="{3E0E8ECB-B7B3-4C01-A5B9-DADA12EC6F85}">
    <text>Contacredito según Decreto  006 $850.000.000</text>
  </threadedComment>
  <threadedComment ref="Q47" dT="2026-01-06T21:25:56.82" personId="{5BEB30C7-49E5-4A2B-8017-89B48CEA3826}" id="{92426529-0EF1-4254-B35E-3EAE341F965F}">
    <text>credito según Decreto  006 $850.000.000</text>
  </threadedComment>
  <threadedComment ref="R47" dT="2026-01-09T19:52:00.42" personId="{68794FB4-DF43-4D55-BF4D-33287E9AE6A0}" id="{CFDFDF57-BE7B-4B2D-8779-AAC4DB966085}">
    <text xml:space="preserve">PP    VALOR 
1171    14.800.000
1185    14.800.000
1231    14.800.000
1184    14.800.000
997      14.800.000
1224    14.800.000
</text>
  </threadedComment>
  <threadedComment ref="R47" dT="2026-01-09T20:56:37.23" personId="{68794FB4-DF43-4D55-BF4D-33287E9AE6A0}" id="{7033420F-42C3-4E97-92C9-AC1B09FBA601}" parentId="{CFDFDF57-BE7B-4B2D-8779-AAC4DB966085}">
    <text>1155         14.800.000
1201      14.800.000
1207      14.800.000
1202      12.000.000
1209       16.000.000</text>
  </threadedComment>
  <threadedComment ref="R47" dT="2026-01-09T22:18:14.82" personId="{68794FB4-DF43-4D55-BF4D-33287E9AE6A0}" id="{432B853C-5E1F-4013-A713-221701ACDB87}" parentId="{CFDFDF57-BE7B-4B2D-8779-AAC4DB966085}">
    <text>1214         14.800.000
1198     14.800.000
1173     14.800.000
1177     14.800.000
1285      16.000.000
1229      14.800.000
1208      14.800.000</text>
  </threadedComment>
  <threadedComment ref="R47" dT="2026-01-09T23:22:38.14" personId="{5BEB30C7-49E5-4A2B-8017-89B48CEA3826}" id="{01F9F162-6051-4D0D-B5C0-0BD56D3F53CD}" parentId="{CFDFDF57-BE7B-4B2D-8779-AAC4DB966085}">
    <text>1174     14.800.000
1180     12.000.000</text>
  </threadedComment>
  <threadedComment ref="R47" dT="2026-01-13T19:45:17.31" personId="{68794FB4-DF43-4D55-BF4D-33287E9AE6A0}" id="{4E06560B-2636-4A52-B2E8-62E02FC694D0}" parentId="{CFDFDF57-BE7B-4B2D-8779-AAC4DB966085}">
    <text>1232      12.000.000
1224     14.800.000
1401      14.800.000</text>
  </threadedComment>
  <threadedComment ref="R48" dT="2026-01-02T22:48:42.53" personId="{68794FB4-DF43-4D55-BF4D-33287E9AE6A0}" id="{8259DB41-9491-4C32-8C42-C87D212551E8}">
    <text>PP          VLR
221    179.315.709</text>
  </threadedComment>
  <threadedComment ref="Q60" dT="2026-01-06T21:15:14.36" personId="{5BEB30C7-49E5-4A2B-8017-89B48CEA3826}" id="{C284FEC0-68B3-4EA2-B9B7-C50EBD8F9DAB}">
    <text>Contacredito según Decreto  006 $858.735.523,30</text>
  </threadedComment>
  <threadedComment ref="Q61" dT="2026-01-06T21:30:56.11" personId="{5BEB30C7-49E5-4A2B-8017-89B48CEA3826}" id="{B9B92F86-5A1D-46BC-A3C7-809B9A5EA255}">
    <text>credito según Decreto  006 $858.735.523,30
Adición según Decreto 0014 06-0-2026 $752.199.134.70</text>
  </threadedComment>
  <threadedComment ref="R61" dT="2026-01-09T14:58:41.71" personId="{5BEB30C7-49E5-4A2B-8017-89B48CEA3826}" id="{CC407E2C-45DA-4C56-A7E0-80FB67BB66ED}">
    <text>PP         VLR
1139    14.800.000
1137    14.800.000
1134    14.800.000
1133    14.800.000
1136    14.800.000
1138    14.800.000
1130    17.200.000
1129    14.800.000
1156    14.800.000
1152    14.800.000
1167    14.800.000 
1206    14.800.000 
1191    14.800.000</text>
  </threadedComment>
  <threadedComment ref="R61" dT="2026-01-09T18:59:29.57" personId="{68794FB4-DF43-4D55-BF4D-33287E9AE6A0}" id="{C1E18848-B02B-4F28-91B7-78A14180469B}" parentId="{CC407E2C-45DA-4C56-A7E0-80FB67BB66ED}">
    <text>1131     17.200.000
1132     14.800.000
994       17.200.000
1222      14.800.000</text>
  </threadedComment>
  <threadedComment ref="R61" dT="2026-01-09T19:47:42.91" personId="{68794FB4-DF43-4D55-BF4D-33287E9AE6A0}" id="{4482FDDB-8DA1-4A69-801F-88E3C14C1D6C}" parentId="{CC407E2C-45DA-4C56-A7E0-80FB67BB66ED}">
    <text xml:space="preserve">1157          14.800.000
1166     14.800.000
1162       14.800.000
1163       14.800.000
1164     14.800.000
1158      14.800.000
1147       14.800.000
1181        14.800.000
1186         14.800.000
</text>
  </threadedComment>
  <threadedComment ref="R61" dT="2026-01-09T23:43:07.81" personId="{68794FB4-DF43-4D55-BF4D-33287E9AE6A0}" id="{0DC96579-6C6E-4795-A270-369FBDF61CE1}" parentId="{CC407E2C-45DA-4C56-A7E0-80FB67BB66ED}">
    <text>1196             14.800.000
1204      14.800.000
1193     14.800.000</text>
  </threadedComment>
  <threadedComment ref="Q62" dT="2026-01-06T21:17:15.17" personId="{5BEB30C7-49E5-4A2B-8017-89B48CEA3826}" id="{1E29F20B-F1F9-4868-9D7E-DA78810E6F6F}">
    <text>Contacredito según Decreto  006 $ 300.000.000</text>
  </threadedComment>
  <threadedComment ref="Q63" dT="2026-01-06T21:34:02.97" personId="{5BEB30C7-49E5-4A2B-8017-89B48CEA3826}" id="{9B5E84F9-9947-44A9-A014-1E8D84238DA6}">
    <text>credito según Decreto  006 $ 300.000.000</text>
  </threadedComment>
  <threadedComment ref="R63" dT="2026-01-13T16:36:46.95" personId="{68794FB4-DF43-4D55-BF4D-33287E9AE6A0}" id="{B57E1EDA-C7DB-4BF3-8035-209FFDAE69E0}">
    <text>PP             VALOR
1326          14.800.000
1321          14.800.000</text>
  </threadedComment>
  <threadedComment ref="R63" dT="2026-01-13T16:48:28.74" personId="{68794FB4-DF43-4D55-BF4D-33287E9AE6A0}" id="{7475F076-2A9E-40DE-8E3F-5E66C0C435A8}" parentId="{B57E1EDA-C7DB-4BF3-8035-209FFDAE69E0}">
    <text>1325         14.800.000
1323         14.800.000
1328         14.800.000
1292         15.600.000
1320       14.800.000</text>
  </threadedComment>
  <threadedComment ref="R64" dT="2026-01-06T22:18:04.16" personId="{68794FB4-DF43-4D55-BF4D-33287E9AE6A0}" id="{68FBB19C-1193-47BA-8C71-B83988EB1B04}">
    <text>PP       VALOR
488      14.800.000
818      14.800.000
836      14.800.000</text>
  </threadedComment>
  <threadedComment ref="R65" dT="2026-01-05T16:10:13.96" personId="{68794FB4-DF43-4D55-BF4D-33287E9AE6A0}" id="{5CAF121C-9D52-4562-8EBD-200BD981E0A4}">
    <text>PP      VALOR 
728     14.800.000</text>
  </threadedComment>
  <threadedComment ref="T67" dT="2026-01-09T16:17:00.73" personId="{5BEB30C7-49E5-4A2B-8017-89B48CEA3826}" id="{0E0846AB-5707-4A05-95EE-3D76B9FC85C8}">
    <text>AJUSTE PENDIENTE POR REALIZAR</text>
  </threadedComment>
  <threadedComment ref="Q68" dT="2026-01-06T21:18:22.81" personId="{5BEB30C7-49E5-4A2B-8017-89B48CEA3826}" id="{164F425C-721B-40D9-920B-496F65E44DF4}">
    <text>Contacredito según Decreto  006 $350.917.900</text>
  </threadedComment>
  <threadedComment ref="Q69" dT="2026-01-06T21:37:00.85" personId="{5BEB30C7-49E5-4A2B-8017-89B48CEA3826}" id="{D6646DCD-C800-44E9-9165-FFA4C2BA62C8}">
    <text>credito según Decreto  006 $350.917.900</text>
  </threadedComment>
  <threadedComment ref="Q70" dT="2026-01-06T21:20:11.04" personId="{5BEB30C7-49E5-4A2B-8017-89B48CEA3826}" id="{0DD16892-8672-45C7-A9AF-A1F526E9B63C}">
    <text>Contacredito según Decreto  006 $13.000.000</text>
  </threadedComment>
  <threadedComment ref="Q71" dT="2026-01-06T21:38:34.09" personId="{5BEB30C7-49E5-4A2B-8017-89B48CEA3826}" id="{14875D15-82C0-41BE-A7E3-52D6EC9E1642}">
    <text>credito según Decreto  006 $13.000.000
Redución según Decreto 0014 06-01-2026 $6.330.146</text>
  </threadedComment>
  <threadedComment ref="R72" dT="2026-01-06T22:23:09.86" personId="{68794FB4-DF43-4D55-BF4D-33287E9AE6A0}" id="{41AAE18D-79B6-42C2-818F-A64B78DD3EE4}">
    <text>PP         VALOR
876      14.800.000
805       14.800.000
799     14.800.000</text>
  </threadedComment>
  <threadedComment ref="Q73" dT="2026-01-06T21:20:58.99" personId="{5BEB30C7-49E5-4A2B-8017-89B48CEA3826}" id="{B3071A0E-E106-4D6B-A340-ACCB8B724C86}">
    <text>Contacredito según Decreto  006 $60.000.000</text>
  </threadedComment>
  <threadedComment ref="Q74" dT="2026-01-06T21:41:28.39" personId="{5BEB30C7-49E5-4A2B-8017-89B48CEA3826}" id="{C049205C-35A7-4566-A76C-6971D7BCC402}">
    <text>credito según Decreto  006 $60.000.000
Redución según Decreto 0014 06-01-2026 $ 8.021.482</text>
  </threadedComment>
  <threadedComment ref="R75" dT="2026-01-09T22:36:52.60" personId="{5BEB30C7-49E5-4A2B-8017-89B48CEA3826}" id="{78124437-CDE7-46A1-8699-F75AA4EE8CB2}">
    <text xml:space="preserve">    PP       VALOR
189         4.079.206.933</text>
  </threadedComment>
  <threadedComment ref="R76" dT="2026-01-07T20:16:48.36" personId="{68794FB4-DF43-4D55-BF4D-33287E9AE6A0}" id="{CA34E6D0-9B14-42A5-8E1F-AC86B7BA071D}">
    <text>PP    VALOR 
159    266.210.662
390     1.298.000.000</text>
  </threadedComment>
  <threadedComment ref="R81" dT="2026-01-02T23:06:57.04" personId="{68794FB4-DF43-4D55-BF4D-33287E9AE6A0}" id="{FA179057-A3EC-411C-B38E-CFEDA1E6BC6A}">
    <text>PP         VLR
129    2.466.667
130    2.600.000
132     2.666.667</text>
  </threadedComment>
  <threadedComment ref="R81" dT="2026-01-05T16:38:38.32" personId="{68794FB4-DF43-4D55-BF4D-33287E9AE6A0}" id="{4B9133AD-6A23-439D-A799-135490E05664}" parentId="{FA179057-A3EC-411C-B38E-CFEDA1E6BC6A}">
    <text>131  2.466.666
128    2.666.667
133    2.666.667</text>
  </threadedComment>
  <threadedComment ref="R102" dT="2026-01-05T20:38:43.34" personId="{68794FB4-DF43-4D55-BF4D-33287E9AE6A0}" id="{A4BD95A1-3BDF-4857-A864-ED143E2DE8D3}">
    <text>PP     VALOR 
86    63.691.514</text>
  </threadedComment>
  <threadedComment ref="R124" dT="2026-01-13T17:58:58.60" personId="{5BEB30C7-49E5-4A2B-8017-89B48CEA3826}" id="{9ED691E6-0ED9-4C0C-A835-5048FF605E73}">
    <text>PP        VALOR
1314    137.091.859
1311    250.759.690</text>
  </threadedComment>
  <threadedComment ref="R124" dT="2026-01-14T14:00:20.24" personId="{68794FB4-DF43-4D55-BF4D-33287E9AE6A0}" id="{FD44D1A5-0ED6-4BD1-AE12-711AAF63B9A0}" parentId="{9ED691E6-0ED9-4C0C-A835-5048FF605E73}">
    <text>1318         147.029.928</text>
  </threadedComment>
  <threadedComment ref="R124" dT="2026-01-14T15:50:47.80" personId="{68794FB4-DF43-4D55-BF4D-33287E9AE6A0}" id="{48E270BB-C739-48F0-BB95-B3FE8AE4AF1A}" parentId="{9ED691E6-0ED9-4C0C-A835-5048FF605E73}">
    <text>1315       121.123.333</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9.bin"/><Relationship Id="rId4" Type="http://schemas.microsoft.com/office/2017/10/relationships/threadedComment" Target="../threadedComments/threadedComment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9.xml"/><Relationship Id="rId1" Type="http://schemas.openxmlformats.org/officeDocument/2006/relationships/printerSettings" Target="../printerSettings/printerSettings10.bin"/><Relationship Id="rId5" Type="http://schemas.microsoft.com/office/2017/10/relationships/threadedComment" Target="../threadedComments/threadedComment11.xml"/><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5" Type="http://schemas.microsoft.com/office/2017/10/relationships/threadedComment" Target="../threadedComments/threadedComment12.xml"/><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4.bin"/><Relationship Id="rId5" Type="http://schemas.microsoft.com/office/2017/10/relationships/threadedComment" Target="../threadedComments/threadedComment13.xml"/><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4.xml"/><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microsoft.com/office/2017/10/relationships/threadedComment" Target="../threadedComments/threadedComment5.xml"/><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microsoft.com/office/2017/10/relationships/threadedComment" Target="../threadedComments/threadedComment6.xml"/><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7.xml"/><Relationship Id="rId4" Type="http://schemas.microsoft.com/office/2017/10/relationships/threadedComment" Target="../threadedComments/threadedComment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7.bin"/><Relationship Id="rId5" Type="http://schemas.microsoft.com/office/2017/10/relationships/threadedComment" Target="../threadedComments/threadedComment8.xml"/><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8.bin"/><Relationship Id="rId4" Type="http://schemas.microsoft.com/office/2017/10/relationships/threadedComment" Target="../threadedComments/threadedComment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BI36"/>
  <sheetViews>
    <sheetView topLeftCell="G1" zoomScale="70" zoomScaleNormal="70" zoomScaleSheetLayoutView="70" workbookViewId="0">
      <pane ySplit="9" topLeftCell="N15" activePane="bottomLeft" state="frozen"/>
      <selection pane="bottomLeft" activeCell="W15" sqref="W15"/>
    </sheetView>
  </sheetViews>
  <sheetFormatPr defaultColWidth="11.42578125" defaultRowHeight="15" customHeight="1"/>
  <cols>
    <col min="1" max="1" width="12.28515625" customWidth="1"/>
    <col min="2" max="2" width="18.42578125" customWidth="1"/>
    <col min="3" max="3" width="9.42578125" customWidth="1"/>
    <col min="4" max="4" width="11.42578125" customWidth="1"/>
    <col min="5" max="5" width="9.7109375" customWidth="1"/>
    <col min="6" max="6" width="19" customWidth="1"/>
    <col min="7" max="7" width="13.7109375" customWidth="1"/>
    <col min="8" max="8" width="19.140625" customWidth="1"/>
    <col min="9" max="9" width="13.7109375" customWidth="1"/>
    <col min="10" max="10" width="19" customWidth="1"/>
    <col min="11" max="13" width="15.7109375" customWidth="1"/>
    <col min="14" max="14" width="17.42578125" customWidth="1"/>
    <col min="15" max="15" width="40" customWidth="1"/>
    <col min="16" max="16" width="38.42578125" customWidth="1"/>
    <col min="17" max="17" width="26" customWidth="1"/>
    <col min="18" max="18" width="24.85546875" customWidth="1"/>
    <col min="19" max="19" width="23.42578125" customWidth="1"/>
    <col min="20" max="20" width="22" customWidth="1"/>
    <col min="21" max="21" width="22.140625" customWidth="1"/>
    <col min="22" max="22" width="54.7109375" customWidth="1"/>
    <col min="23" max="23" width="12" customWidth="1"/>
    <col min="24" max="24" width="17.42578125" customWidth="1"/>
    <col min="25" max="25" width="10.7109375" customWidth="1"/>
    <col min="26" max="26" width="11" customWidth="1"/>
    <col min="27" max="27" width="9.28515625" customWidth="1"/>
    <col min="28" max="28" width="7.42578125" customWidth="1"/>
    <col min="29" max="29" width="9.42578125" customWidth="1"/>
    <col min="30" max="30" width="8.42578125" customWidth="1"/>
    <col min="31" max="31" width="9.42578125" customWidth="1"/>
    <col min="32" max="32" width="8.85546875" customWidth="1"/>
    <col min="33" max="33" width="6.7109375" customWidth="1"/>
    <col min="34" max="34" width="6.42578125" customWidth="1"/>
    <col min="35" max="35" width="6.28515625" customWidth="1"/>
    <col min="36" max="36" width="6.42578125" customWidth="1"/>
    <col min="37" max="37" width="11.7109375" customWidth="1"/>
    <col min="38" max="38" width="10.85546875" customWidth="1"/>
    <col min="39" max="39" width="7.28515625" customWidth="1"/>
    <col min="40" max="40" width="11" customWidth="1"/>
    <col min="41" max="41" width="14.28515625" customWidth="1"/>
    <col min="42" max="42" width="14.42578125" customWidth="1"/>
    <col min="43" max="43" width="19.42578125" customWidth="1"/>
  </cols>
  <sheetData>
    <row r="1" spans="1:61">
      <c r="A1" s="1001"/>
      <c r="B1" s="1001"/>
      <c r="C1" s="1002" t="s">
        <v>0</v>
      </c>
      <c r="D1" s="1002"/>
      <c r="E1" s="1002"/>
      <c r="F1" s="1002"/>
      <c r="G1" s="1002"/>
      <c r="H1" s="1002"/>
      <c r="I1" s="1002"/>
      <c r="J1" s="1002"/>
      <c r="K1" s="1002"/>
      <c r="L1" s="1002"/>
      <c r="M1" s="1002"/>
      <c r="N1" s="1002"/>
      <c r="O1" s="1002"/>
      <c r="P1" s="1002"/>
      <c r="Q1" s="1002"/>
      <c r="R1" s="1002"/>
      <c r="S1" s="1002"/>
      <c r="T1" s="1002"/>
      <c r="U1" s="1002"/>
      <c r="V1" s="1002"/>
      <c r="W1" s="1002"/>
      <c r="X1" s="1002"/>
      <c r="Y1" s="1002"/>
      <c r="Z1" s="1002"/>
      <c r="AA1" s="1002"/>
      <c r="AB1" s="1002"/>
      <c r="AC1" s="1002"/>
      <c r="AD1" s="1002"/>
      <c r="AE1" s="1002"/>
      <c r="AF1" s="1002"/>
      <c r="AG1" s="1002"/>
      <c r="AH1" s="1002"/>
      <c r="AI1" s="1002"/>
      <c r="AJ1" s="1002"/>
      <c r="AK1" s="1002"/>
      <c r="AL1" s="1002"/>
      <c r="AM1" s="1002"/>
      <c r="AN1" s="1002"/>
      <c r="AO1" s="1002"/>
    </row>
    <row r="2" spans="1:61" s="2" customFormat="1" ht="14.45" customHeight="1">
      <c r="A2" s="1001"/>
      <c r="B2" s="1001"/>
      <c r="C2" s="1003" t="s">
        <v>1</v>
      </c>
      <c r="D2" s="1003"/>
      <c r="E2" s="1003"/>
      <c r="F2" s="1003"/>
      <c r="G2" s="1003"/>
      <c r="H2" s="1003"/>
      <c r="I2" s="1003"/>
      <c r="J2" s="1003"/>
      <c r="K2" s="1003"/>
      <c r="L2" s="1003"/>
      <c r="M2" s="1003"/>
      <c r="N2" s="1003"/>
      <c r="O2" s="1003"/>
      <c r="P2" s="1003"/>
      <c r="Q2" s="1003"/>
      <c r="R2" s="1003"/>
      <c r="S2" s="1003"/>
      <c r="T2" s="1003"/>
      <c r="U2" s="1003"/>
      <c r="V2" s="1003"/>
      <c r="W2" s="1003"/>
      <c r="X2" s="1003"/>
      <c r="Y2" s="1003"/>
      <c r="Z2" s="1003"/>
      <c r="AA2" s="1003"/>
      <c r="AB2" s="1003"/>
      <c r="AC2" s="1003"/>
      <c r="AD2" s="1003"/>
      <c r="AE2" s="1003"/>
      <c r="AF2" s="1003"/>
      <c r="AG2" s="1003"/>
      <c r="AH2" s="1003"/>
      <c r="AI2" s="1003"/>
      <c r="AJ2" s="1003"/>
      <c r="AK2" s="1003"/>
      <c r="AL2" s="1003"/>
      <c r="AM2" s="1003"/>
      <c r="AN2" s="1003"/>
      <c r="AO2" s="1003"/>
      <c r="AP2" s="25" t="s">
        <v>2</v>
      </c>
      <c r="AQ2" s="957" t="s">
        <v>3</v>
      </c>
      <c r="AR2" s="1"/>
      <c r="AS2" s="1"/>
      <c r="AT2" s="1"/>
      <c r="AU2" s="1"/>
      <c r="AV2" s="1"/>
      <c r="AW2" s="1"/>
      <c r="AX2" s="1"/>
      <c r="AY2" s="1"/>
      <c r="AZ2" s="1"/>
      <c r="BA2" s="1"/>
      <c r="BB2" s="1"/>
      <c r="BC2" s="1"/>
      <c r="BD2" s="1"/>
      <c r="BE2" s="1"/>
      <c r="BF2" s="1"/>
      <c r="BG2" s="1"/>
      <c r="BH2" s="1"/>
      <c r="BI2" s="1"/>
    </row>
    <row r="3" spans="1:61" s="2" customFormat="1" ht="11.25" customHeight="1">
      <c r="A3" s="1001"/>
      <c r="B3" s="1001"/>
      <c r="C3" s="1003"/>
      <c r="D3" s="1003"/>
      <c r="E3" s="1003"/>
      <c r="F3" s="1003"/>
      <c r="G3" s="1003"/>
      <c r="H3" s="1003"/>
      <c r="I3" s="1003"/>
      <c r="J3" s="1003"/>
      <c r="K3" s="1003"/>
      <c r="L3" s="1003"/>
      <c r="M3" s="1003"/>
      <c r="N3" s="1003"/>
      <c r="O3" s="1003"/>
      <c r="P3" s="1003"/>
      <c r="Q3" s="1003"/>
      <c r="R3" s="1003"/>
      <c r="S3" s="1003"/>
      <c r="T3" s="1003"/>
      <c r="U3" s="1003"/>
      <c r="V3" s="1003"/>
      <c r="W3" s="1003"/>
      <c r="X3" s="1003"/>
      <c r="Y3" s="1003"/>
      <c r="Z3" s="1003"/>
      <c r="AA3" s="1003"/>
      <c r="AB3" s="1003"/>
      <c r="AC3" s="1003"/>
      <c r="AD3" s="1003"/>
      <c r="AE3" s="1003"/>
      <c r="AF3" s="1003"/>
      <c r="AG3" s="1003"/>
      <c r="AH3" s="1003"/>
      <c r="AI3" s="1003"/>
      <c r="AJ3" s="1003"/>
      <c r="AK3" s="1003"/>
      <c r="AL3" s="1003"/>
      <c r="AM3" s="1003"/>
      <c r="AN3" s="1003"/>
      <c r="AO3" s="1003"/>
      <c r="AP3" s="42" t="s">
        <v>4</v>
      </c>
      <c r="AQ3" s="40">
        <v>14</v>
      </c>
      <c r="AR3" s="1"/>
      <c r="AS3" s="1"/>
      <c r="AT3" s="1"/>
      <c r="AU3" s="1"/>
      <c r="AV3" s="1"/>
      <c r="AW3" s="1"/>
      <c r="AX3" s="1"/>
      <c r="AY3" s="1"/>
      <c r="AZ3" s="1"/>
      <c r="BA3" s="1"/>
      <c r="BB3" s="1"/>
      <c r="BC3" s="1"/>
      <c r="BD3" s="1"/>
      <c r="BE3" s="1"/>
      <c r="BF3" s="1"/>
      <c r="BG3" s="1"/>
      <c r="BH3" s="1"/>
      <c r="BI3" s="1"/>
    </row>
    <row r="4" spans="1:61" s="2" customFormat="1" ht="18.75" customHeight="1">
      <c r="A4" s="1001"/>
      <c r="B4" s="1001"/>
      <c r="C4" s="1003"/>
      <c r="D4" s="1003"/>
      <c r="E4" s="1003"/>
      <c r="F4" s="1003"/>
      <c r="G4" s="1003"/>
      <c r="H4" s="1003"/>
      <c r="I4" s="1003"/>
      <c r="J4" s="1003"/>
      <c r="K4" s="1003"/>
      <c r="L4" s="1003"/>
      <c r="M4" s="1003"/>
      <c r="N4" s="1003"/>
      <c r="O4" s="1003"/>
      <c r="P4" s="1003"/>
      <c r="Q4" s="1003"/>
      <c r="R4" s="1003"/>
      <c r="S4" s="1003"/>
      <c r="T4" s="1003"/>
      <c r="U4" s="1003"/>
      <c r="V4" s="1003"/>
      <c r="W4" s="1003"/>
      <c r="X4" s="1003"/>
      <c r="Y4" s="1003"/>
      <c r="Z4" s="1003"/>
      <c r="AA4" s="1003"/>
      <c r="AB4" s="1003"/>
      <c r="AC4" s="1003"/>
      <c r="AD4" s="1003"/>
      <c r="AE4" s="1003"/>
      <c r="AF4" s="1003"/>
      <c r="AG4" s="1003"/>
      <c r="AH4" s="1003"/>
      <c r="AI4" s="1003"/>
      <c r="AJ4" s="1003"/>
      <c r="AK4" s="1003"/>
      <c r="AL4" s="1003"/>
      <c r="AM4" s="1003"/>
      <c r="AN4" s="1003"/>
      <c r="AO4" s="1003"/>
      <c r="AP4" s="42" t="s">
        <v>5</v>
      </c>
      <c r="AQ4" s="41">
        <v>45884</v>
      </c>
      <c r="AR4" s="1"/>
      <c r="AS4" s="1"/>
      <c r="AT4" s="1"/>
      <c r="AU4" s="1"/>
      <c r="AV4" s="1"/>
      <c r="AW4" s="1"/>
      <c r="AX4" s="1"/>
      <c r="AY4" s="1"/>
      <c r="AZ4" s="1"/>
      <c r="BA4" s="1"/>
      <c r="BB4" s="1"/>
      <c r="BC4" s="1"/>
      <c r="BD4" s="1"/>
      <c r="BE4" s="1"/>
      <c r="BF4" s="1"/>
      <c r="BG4" s="1"/>
      <c r="BH4" s="1"/>
      <c r="BI4" s="1"/>
    </row>
    <row r="5" spans="1:61" s="2" customFormat="1" ht="14.45" customHeight="1">
      <c r="A5" s="1001"/>
      <c r="B5" s="1001"/>
      <c r="C5" s="1004" t="s">
        <v>6</v>
      </c>
      <c r="D5" s="1004"/>
      <c r="E5" s="1004"/>
      <c r="F5" s="1004"/>
      <c r="G5" s="1004"/>
      <c r="H5" s="1004"/>
      <c r="I5" s="1004"/>
      <c r="J5" s="1004"/>
      <c r="K5" s="1004"/>
      <c r="L5" s="1004"/>
      <c r="M5" s="1004"/>
      <c r="N5" s="1004"/>
      <c r="O5" s="1004"/>
      <c r="P5" s="1004"/>
      <c r="Q5" s="1004"/>
      <c r="R5" s="1004"/>
      <c r="S5" s="1004"/>
      <c r="T5" s="1004"/>
      <c r="U5" s="1004"/>
      <c r="V5" s="1004"/>
      <c r="W5" s="1004"/>
      <c r="X5" s="1004"/>
      <c r="Y5" s="1004"/>
      <c r="Z5" s="1004"/>
      <c r="AA5" s="1004"/>
      <c r="AB5" s="1004"/>
      <c r="AC5" s="1004"/>
      <c r="AD5" s="1004"/>
      <c r="AE5" s="1004"/>
      <c r="AF5" s="1004"/>
      <c r="AG5" s="1004"/>
      <c r="AH5" s="1004"/>
      <c r="AI5" s="1004"/>
      <c r="AJ5" s="1004"/>
      <c r="AK5" s="1004"/>
      <c r="AL5" s="1004"/>
      <c r="AM5" s="1004"/>
      <c r="AN5" s="1004"/>
      <c r="AO5" s="1004"/>
      <c r="AP5" s="25" t="s">
        <v>7</v>
      </c>
      <c r="AQ5" s="3" t="s">
        <v>8</v>
      </c>
      <c r="AR5" s="1"/>
      <c r="AS5" s="1"/>
      <c r="AT5" s="1"/>
      <c r="AU5" s="1"/>
      <c r="AV5" s="1"/>
      <c r="AW5" s="1"/>
      <c r="AX5" s="1"/>
      <c r="AY5" s="1"/>
      <c r="AZ5" s="1"/>
      <c r="BA5" s="1"/>
      <c r="BB5" s="1"/>
      <c r="BC5" s="1"/>
      <c r="BD5" s="1"/>
      <c r="BE5" s="1"/>
      <c r="BF5" s="1"/>
      <c r="BG5" s="1"/>
      <c r="BH5" s="1"/>
      <c r="BI5" s="1"/>
    </row>
    <row r="6" spans="1:61" s="2" customFormat="1" ht="9.75" customHeight="1">
      <c r="A6" s="1001"/>
      <c r="B6" s="1001"/>
      <c r="C6" s="1004"/>
      <c r="D6" s="1004"/>
      <c r="E6" s="1004"/>
      <c r="F6" s="1004"/>
      <c r="G6" s="1004"/>
      <c r="H6" s="1004"/>
      <c r="I6" s="1004"/>
      <c r="J6" s="1004"/>
      <c r="K6" s="1005"/>
      <c r="L6" s="1005"/>
      <c r="M6" s="1005"/>
      <c r="N6" s="1004"/>
      <c r="O6" s="1004"/>
      <c r="P6" s="1004"/>
      <c r="Q6" s="1004"/>
      <c r="R6" s="1004"/>
      <c r="S6" s="1004"/>
      <c r="T6" s="1004"/>
      <c r="U6" s="1004"/>
      <c r="V6" s="1004"/>
      <c r="W6" s="1004"/>
      <c r="X6" s="1004"/>
      <c r="Y6" s="1004"/>
      <c r="Z6" s="1004"/>
      <c r="AA6" s="1004"/>
      <c r="AB6" s="1004"/>
      <c r="AC6" s="1004"/>
      <c r="AD6" s="1004"/>
      <c r="AE6" s="1004"/>
      <c r="AF6" s="1004"/>
      <c r="AG6" s="1004"/>
      <c r="AH6" s="1004"/>
      <c r="AI6" s="1004"/>
      <c r="AJ6" s="1004"/>
      <c r="AK6" s="1004"/>
      <c r="AL6" s="1004"/>
      <c r="AM6" s="1004"/>
      <c r="AN6" s="1004"/>
      <c r="AO6" s="1004"/>
      <c r="AP6" s="4"/>
      <c r="AQ6" s="5"/>
      <c r="AR6" s="1"/>
      <c r="AS6" s="1"/>
      <c r="AT6" s="1"/>
      <c r="AU6" s="1"/>
      <c r="AV6" s="1"/>
      <c r="AW6" s="1"/>
      <c r="AX6" s="1"/>
      <c r="AY6" s="1"/>
      <c r="AZ6" s="1"/>
      <c r="BA6" s="1"/>
      <c r="BB6" s="1"/>
      <c r="BC6" s="1"/>
      <c r="BD6" s="1"/>
      <c r="BE6" s="1"/>
      <c r="BF6" s="1"/>
      <c r="BG6" s="1"/>
      <c r="BH6" s="1"/>
      <c r="BI6" s="1"/>
    </row>
    <row r="7" spans="1:61" ht="21" customHeight="1">
      <c r="A7" s="1006" t="s">
        <v>9</v>
      </c>
      <c r="B7" s="1007"/>
      <c r="C7" s="1006" t="s">
        <v>10</v>
      </c>
      <c r="D7" s="1010"/>
      <c r="E7" s="1006" t="s">
        <v>11</v>
      </c>
      <c r="F7" s="1010"/>
      <c r="G7" s="1006" t="s">
        <v>12</v>
      </c>
      <c r="H7" s="1010"/>
      <c r="I7" s="1012" t="s">
        <v>13</v>
      </c>
      <c r="J7" s="1012"/>
      <c r="K7" s="1014" t="s">
        <v>14</v>
      </c>
      <c r="L7" s="1014"/>
      <c r="M7" s="1014"/>
      <c r="N7" s="1015" t="s">
        <v>15</v>
      </c>
      <c r="O7" s="1015"/>
      <c r="P7" s="1015"/>
      <c r="Q7" s="1015"/>
      <c r="R7" s="33"/>
      <c r="S7" s="958"/>
      <c r="T7" s="958"/>
      <c r="U7" s="958"/>
      <c r="V7" s="6"/>
      <c r="W7" s="6"/>
      <c r="X7" s="7"/>
      <c r="Y7" s="998" t="s">
        <v>16</v>
      </c>
      <c r="Z7" s="999"/>
      <c r="AA7" s="999"/>
      <c r="AB7" s="999"/>
      <c r="AC7" s="999"/>
      <c r="AD7" s="999"/>
      <c r="AE7" s="999"/>
      <c r="AF7" s="999"/>
      <c r="AG7" s="999"/>
      <c r="AH7" s="999"/>
      <c r="AI7" s="999"/>
      <c r="AJ7" s="999"/>
      <c r="AK7" s="999"/>
      <c r="AL7" s="999"/>
      <c r="AM7" s="999"/>
      <c r="AN7" s="1000"/>
      <c r="AO7" s="987" t="s">
        <v>17</v>
      </c>
      <c r="AP7" s="987" t="s">
        <v>18</v>
      </c>
      <c r="AQ7" s="987" t="s">
        <v>19</v>
      </c>
    </row>
    <row r="8" spans="1:61" s="9" customFormat="1" ht="12.75" customHeight="1">
      <c r="A8" s="1008"/>
      <c r="B8" s="1009"/>
      <c r="C8" s="1008"/>
      <c r="D8" s="1011"/>
      <c r="E8" s="1008"/>
      <c r="F8" s="1011"/>
      <c r="G8" s="1008"/>
      <c r="H8" s="1011"/>
      <c r="I8" s="1013"/>
      <c r="J8" s="1013"/>
      <c r="K8" s="1014"/>
      <c r="L8" s="1014"/>
      <c r="M8" s="1014"/>
      <c r="N8" s="1016"/>
      <c r="O8" s="1016"/>
      <c r="P8" s="1016"/>
      <c r="Q8" s="1016"/>
      <c r="R8" s="34"/>
      <c r="S8" s="959"/>
      <c r="T8" s="959"/>
      <c r="U8" s="959"/>
      <c r="V8" s="990" t="s">
        <v>20</v>
      </c>
      <c r="W8" s="991"/>
      <c r="X8" s="992"/>
      <c r="Y8" s="993" t="s">
        <v>21</v>
      </c>
      <c r="Z8" s="994"/>
      <c r="AA8" s="995" t="s">
        <v>22</v>
      </c>
      <c r="AB8" s="994"/>
      <c r="AC8" s="994"/>
      <c r="AD8" s="994"/>
      <c r="AE8" s="996" t="s">
        <v>23</v>
      </c>
      <c r="AF8" s="994"/>
      <c r="AG8" s="994"/>
      <c r="AH8" s="994"/>
      <c r="AI8" s="994"/>
      <c r="AJ8" s="994"/>
      <c r="AK8" s="995" t="s">
        <v>24</v>
      </c>
      <c r="AL8" s="994"/>
      <c r="AM8" s="994"/>
      <c r="AN8" s="997" t="s">
        <v>25</v>
      </c>
      <c r="AO8" s="988"/>
      <c r="AP8" s="988"/>
      <c r="AQ8" s="988"/>
      <c r="AR8" s="8"/>
      <c r="AS8" s="8"/>
      <c r="AT8" s="8"/>
      <c r="AU8" s="8"/>
      <c r="AV8" s="8"/>
      <c r="AW8" s="8"/>
      <c r="AX8" s="8"/>
      <c r="AY8" s="8"/>
      <c r="AZ8" s="8"/>
      <c r="BA8" s="8"/>
      <c r="BB8" s="8"/>
      <c r="BC8" s="8"/>
      <c r="BD8" s="8"/>
      <c r="BE8" s="8"/>
      <c r="BF8" s="8"/>
    </row>
    <row r="9" spans="1:61" s="16" customFormat="1" ht="55.5" customHeight="1">
      <c r="A9" s="119" t="s">
        <v>26</v>
      </c>
      <c r="B9" s="119" t="s">
        <v>27</v>
      </c>
      <c r="C9" s="119" t="s">
        <v>28</v>
      </c>
      <c r="D9" s="120" t="s">
        <v>29</v>
      </c>
      <c r="E9" s="120" t="s">
        <v>28</v>
      </c>
      <c r="F9" s="120" t="s">
        <v>29</v>
      </c>
      <c r="G9" s="121" t="s">
        <v>26</v>
      </c>
      <c r="H9" s="121" t="s">
        <v>29</v>
      </c>
      <c r="I9" s="121" t="s">
        <v>30</v>
      </c>
      <c r="J9" s="121" t="s">
        <v>31</v>
      </c>
      <c r="K9" s="122" t="s">
        <v>32</v>
      </c>
      <c r="L9" s="122" t="s">
        <v>33</v>
      </c>
      <c r="M9" s="122" t="s">
        <v>25</v>
      </c>
      <c r="N9" s="121" t="s">
        <v>34</v>
      </c>
      <c r="O9" s="121" t="s">
        <v>35</v>
      </c>
      <c r="P9" s="120" t="s">
        <v>36</v>
      </c>
      <c r="Q9" s="123" t="s">
        <v>37</v>
      </c>
      <c r="R9" s="124" t="s">
        <v>38</v>
      </c>
      <c r="S9" s="123" t="s">
        <v>39</v>
      </c>
      <c r="T9" s="123" t="s">
        <v>40</v>
      </c>
      <c r="U9" s="123" t="s">
        <v>41</v>
      </c>
      <c r="V9" s="119" t="s">
        <v>42</v>
      </c>
      <c r="W9" s="120" t="s">
        <v>26</v>
      </c>
      <c r="X9" s="120" t="s">
        <v>27</v>
      </c>
      <c r="Y9" s="125" t="s">
        <v>43</v>
      </c>
      <c r="Z9" s="126" t="s">
        <v>44</v>
      </c>
      <c r="AA9" s="125" t="s">
        <v>45</v>
      </c>
      <c r="AB9" s="125" t="s">
        <v>46</v>
      </c>
      <c r="AC9" s="125" t="s">
        <v>47</v>
      </c>
      <c r="AD9" s="125" t="s">
        <v>48</v>
      </c>
      <c r="AE9" s="125" t="s">
        <v>49</v>
      </c>
      <c r="AF9" s="125" t="s">
        <v>50</v>
      </c>
      <c r="AG9" s="125" t="s">
        <v>51</v>
      </c>
      <c r="AH9" s="125" t="s">
        <v>52</v>
      </c>
      <c r="AI9" s="125" t="s">
        <v>53</v>
      </c>
      <c r="AJ9" s="125" t="s">
        <v>54</v>
      </c>
      <c r="AK9" s="125" t="s">
        <v>55</v>
      </c>
      <c r="AL9" s="125" t="s">
        <v>56</v>
      </c>
      <c r="AM9" s="125" t="s">
        <v>57</v>
      </c>
      <c r="AN9" s="997"/>
      <c r="AO9" s="989"/>
      <c r="AP9" s="989"/>
      <c r="AQ9" s="989"/>
      <c r="AR9" s="8"/>
      <c r="AS9" s="8"/>
      <c r="AT9" s="8"/>
      <c r="AU9" s="8"/>
      <c r="AV9" s="8"/>
      <c r="AW9" s="8"/>
      <c r="AX9" s="8"/>
      <c r="AY9" s="8"/>
      <c r="AZ9" s="8"/>
      <c r="BA9" s="8"/>
      <c r="BB9" s="8"/>
      <c r="BC9" s="8"/>
      <c r="BD9" s="8"/>
      <c r="BE9" s="8"/>
      <c r="BF9" s="8"/>
    </row>
    <row r="10" spans="1:61" s="662" customFormat="1" ht="96" hidden="1">
      <c r="A10" s="112">
        <v>4</v>
      </c>
      <c r="B10" s="127" t="s">
        <v>58</v>
      </c>
      <c r="C10" s="114">
        <v>45</v>
      </c>
      <c r="D10" s="127" t="s">
        <v>59</v>
      </c>
      <c r="E10" s="114">
        <v>4599</v>
      </c>
      <c r="F10" s="127" t="s">
        <v>60</v>
      </c>
      <c r="G10" s="114" t="s">
        <v>61</v>
      </c>
      <c r="H10" s="528" t="s">
        <v>62</v>
      </c>
      <c r="I10" s="112">
        <v>459902300</v>
      </c>
      <c r="J10" s="528" t="s">
        <v>63</v>
      </c>
      <c r="K10" s="128">
        <v>1</v>
      </c>
      <c r="L10" s="102">
        <v>0</v>
      </c>
      <c r="M10" s="128">
        <v>1</v>
      </c>
      <c r="N10" s="112">
        <v>2024003630006</v>
      </c>
      <c r="O10" s="127" t="s">
        <v>64</v>
      </c>
      <c r="P10" s="514" t="s">
        <v>65</v>
      </c>
      <c r="Q10" s="104">
        <v>29000000</v>
      </c>
      <c r="R10" s="659">
        <v>14800000</v>
      </c>
      <c r="S10" s="111"/>
      <c r="T10" s="111"/>
      <c r="U10" s="104">
        <f>+Q10-R10+S10-T10</f>
        <v>14200000</v>
      </c>
      <c r="V10" s="458" t="s">
        <v>66</v>
      </c>
      <c r="W10" s="23">
        <v>20</v>
      </c>
      <c r="X10" s="28" t="s">
        <v>67</v>
      </c>
      <c r="Y10" s="115">
        <v>293304</v>
      </c>
      <c r="Z10" s="115">
        <v>272744</v>
      </c>
      <c r="AA10" s="115">
        <v>99059</v>
      </c>
      <c r="AB10" s="115">
        <v>36139</v>
      </c>
      <c r="AC10" s="115">
        <v>314186</v>
      </c>
      <c r="AD10" s="115">
        <v>116664</v>
      </c>
      <c r="AE10" s="115">
        <v>3247</v>
      </c>
      <c r="AF10" s="115">
        <v>6804</v>
      </c>
      <c r="AG10" s="115">
        <v>25</v>
      </c>
      <c r="AH10" s="115">
        <v>7</v>
      </c>
      <c r="AI10" s="115">
        <v>0</v>
      </c>
      <c r="AJ10" s="115">
        <v>0</v>
      </c>
      <c r="AK10" s="115">
        <v>50946</v>
      </c>
      <c r="AL10" s="115">
        <v>28554</v>
      </c>
      <c r="AM10" s="115">
        <v>53914</v>
      </c>
      <c r="AN10" s="115">
        <v>566048</v>
      </c>
      <c r="AO10" s="660">
        <v>46023</v>
      </c>
      <c r="AP10" s="660">
        <v>46387</v>
      </c>
      <c r="AQ10" s="110" t="s">
        <v>68</v>
      </c>
      <c r="AR10" s="661"/>
      <c r="AS10" s="661"/>
      <c r="AT10" s="661"/>
      <c r="AU10" s="661"/>
      <c r="AV10" s="661"/>
      <c r="AW10" s="661"/>
      <c r="AX10" s="661"/>
      <c r="AY10" s="661"/>
      <c r="AZ10" s="661"/>
      <c r="BA10" s="661"/>
      <c r="BB10" s="661"/>
      <c r="BC10" s="661"/>
      <c r="BD10" s="661"/>
      <c r="BE10" s="661"/>
      <c r="BF10" s="661"/>
    </row>
    <row r="11" spans="1:61" s="662" customFormat="1" ht="96" hidden="1">
      <c r="A11" s="112">
        <v>4</v>
      </c>
      <c r="B11" s="127" t="s">
        <v>58</v>
      </c>
      <c r="C11" s="114">
        <v>45</v>
      </c>
      <c r="D11" s="127" t="s">
        <v>59</v>
      </c>
      <c r="E11" s="114">
        <v>4599</v>
      </c>
      <c r="F11" s="127" t="s">
        <v>60</v>
      </c>
      <c r="G11" s="114" t="s">
        <v>61</v>
      </c>
      <c r="H11" s="528" t="s">
        <v>62</v>
      </c>
      <c r="I11" s="112">
        <v>459902300</v>
      </c>
      <c r="J11" s="528" t="s">
        <v>63</v>
      </c>
      <c r="K11" s="128">
        <v>1</v>
      </c>
      <c r="L11" s="102">
        <v>0</v>
      </c>
      <c r="M11" s="128">
        <v>1</v>
      </c>
      <c r="N11" s="112">
        <v>2024003630006</v>
      </c>
      <c r="O11" s="127" t="s">
        <v>64</v>
      </c>
      <c r="P11" s="514" t="s">
        <v>69</v>
      </c>
      <c r="Q11" s="104">
        <v>52000000</v>
      </c>
      <c r="R11" s="659">
        <f>14800000+14800000</f>
        <v>29600000</v>
      </c>
      <c r="S11" s="111"/>
      <c r="T11" s="111"/>
      <c r="U11" s="104">
        <f t="shared" ref="U11:U23" si="0">+Q11-R11+S11-T11</f>
        <v>22400000</v>
      </c>
      <c r="V11" s="458" t="s">
        <v>66</v>
      </c>
      <c r="W11" s="23">
        <v>20</v>
      </c>
      <c r="X11" s="28" t="s">
        <v>67</v>
      </c>
      <c r="Y11" s="115">
        <v>293304</v>
      </c>
      <c r="Z11" s="115">
        <v>272744</v>
      </c>
      <c r="AA11" s="115">
        <v>99059</v>
      </c>
      <c r="AB11" s="115">
        <v>36139</v>
      </c>
      <c r="AC11" s="115">
        <v>314186</v>
      </c>
      <c r="AD11" s="115">
        <v>116664</v>
      </c>
      <c r="AE11" s="115">
        <v>3247</v>
      </c>
      <c r="AF11" s="115">
        <v>6804</v>
      </c>
      <c r="AG11" s="115">
        <v>25</v>
      </c>
      <c r="AH11" s="115">
        <v>7</v>
      </c>
      <c r="AI11" s="115">
        <v>0</v>
      </c>
      <c r="AJ11" s="115">
        <v>0</v>
      </c>
      <c r="AK11" s="115">
        <v>50946</v>
      </c>
      <c r="AL11" s="115">
        <v>28554</v>
      </c>
      <c r="AM11" s="115">
        <v>53914</v>
      </c>
      <c r="AN11" s="115">
        <v>566048</v>
      </c>
      <c r="AO11" s="660">
        <v>46023</v>
      </c>
      <c r="AP11" s="660">
        <v>46387</v>
      </c>
      <c r="AQ11" s="110" t="s">
        <v>68</v>
      </c>
      <c r="AR11" s="661"/>
      <c r="AS11" s="661"/>
      <c r="AT11" s="661"/>
      <c r="AU11" s="661"/>
      <c r="AV11" s="661"/>
      <c r="AW11" s="661"/>
      <c r="AX11" s="661"/>
      <c r="AY11" s="661"/>
      <c r="AZ11" s="661"/>
      <c r="BA11" s="661"/>
      <c r="BB11" s="661"/>
      <c r="BC11" s="661"/>
      <c r="BD11" s="661"/>
      <c r="BE11" s="661"/>
      <c r="BF11" s="661"/>
    </row>
    <row r="12" spans="1:61" s="662" customFormat="1" ht="96" hidden="1">
      <c r="A12" s="112">
        <v>4</v>
      </c>
      <c r="B12" s="127" t="s">
        <v>58</v>
      </c>
      <c r="C12" s="114">
        <v>45</v>
      </c>
      <c r="D12" s="127" t="s">
        <v>59</v>
      </c>
      <c r="E12" s="114">
        <v>4599</v>
      </c>
      <c r="F12" s="127" t="s">
        <v>60</v>
      </c>
      <c r="G12" s="114">
        <v>4599023</v>
      </c>
      <c r="H12" s="528" t="s">
        <v>62</v>
      </c>
      <c r="I12" s="112">
        <v>459902300</v>
      </c>
      <c r="J12" s="528" t="s">
        <v>63</v>
      </c>
      <c r="K12" s="128">
        <v>1</v>
      </c>
      <c r="L12" s="102">
        <v>0</v>
      </c>
      <c r="M12" s="128">
        <v>1</v>
      </c>
      <c r="N12" s="112">
        <v>2024003630006</v>
      </c>
      <c r="O12" s="127" t="s">
        <v>64</v>
      </c>
      <c r="P12" s="514" t="s">
        <v>70</v>
      </c>
      <c r="Q12" s="104">
        <v>48000000</v>
      </c>
      <c r="R12" s="659">
        <v>16000000</v>
      </c>
      <c r="S12" s="111"/>
      <c r="T12" s="111"/>
      <c r="U12" s="104">
        <f t="shared" si="0"/>
        <v>32000000</v>
      </c>
      <c r="V12" s="458" t="s">
        <v>66</v>
      </c>
      <c r="W12" s="23">
        <v>20</v>
      </c>
      <c r="X12" s="28" t="s">
        <v>67</v>
      </c>
      <c r="Y12" s="115">
        <v>293304</v>
      </c>
      <c r="Z12" s="115">
        <v>272744</v>
      </c>
      <c r="AA12" s="115">
        <v>99059</v>
      </c>
      <c r="AB12" s="115">
        <v>36139</v>
      </c>
      <c r="AC12" s="115">
        <v>314186</v>
      </c>
      <c r="AD12" s="115">
        <v>116664</v>
      </c>
      <c r="AE12" s="115">
        <v>3247</v>
      </c>
      <c r="AF12" s="115">
        <v>6804</v>
      </c>
      <c r="AG12" s="115">
        <v>25</v>
      </c>
      <c r="AH12" s="115">
        <v>7</v>
      </c>
      <c r="AI12" s="115">
        <v>0</v>
      </c>
      <c r="AJ12" s="115">
        <v>0</v>
      </c>
      <c r="AK12" s="115">
        <v>50946</v>
      </c>
      <c r="AL12" s="115">
        <v>28554</v>
      </c>
      <c r="AM12" s="115">
        <v>53914</v>
      </c>
      <c r="AN12" s="115">
        <v>566048</v>
      </c>
      <c r="AO12" s="660">
        <v>46023</v>
      </c>
      <c r="AP12" s="660">
        <v>46387</v>
      </c>
      <c r="AQ12" s="110" t="s">
        <v>68</v>
      </c>
      <c r="AR12" s="661"/>
      <c r="AS12" s="661"/>
      <c r="AT12" s="661"/>
      <c r="AU12" s="661"/>
      <c r="AV12" s="661"/>
      <c r="AW12" s="661"/>
      <c r="AX12" s="661"/>
      <c r="AY12" s="661"/>
      <c r="AZ12" s="661"/>
      <c r="BA12" s="661"/>
      <c r="BB12" s="661"/>
      <c r="BC12" s="661"/>
      <c r="BD12" s="661"/>
      <c r="BE12" s="661"/>
      <c r="BF12" s="661"/>
    </row>
    <row r="13" spans="1:61" s="662" customFormat="1" ht="102" hidden="1">
      <c r="A13" s="112">
        <v>4</v>
      </c>
      <c r="B13" s="127" t="s">
        <v>58</v>
      </c>
      <c r="C13" s="114">
        <v>45</v>
      </c>
      <c r="D13" s="127" t="s">
        <v>59</v>
      </c>
      <c r="E13" s="114">
        <v>4599</v>
      </c>
      <c r="F13" s="127" t="s">
        <v>60</v>
      </c>
      <c r="G13" s="114" t="s">
        <v>61</v>
      </c>
      <c r="H13" s="528" t="s">
        <v>62</v>
      </c>
      <c r="I13" s="112">
        <v>459902300</v>
      </c>
      <c r="J13" s="528" t="s">
        <v>63</v>
      </c>
      <c r="K13" s="128">
        <v>1</v>
      </c>
      <c r="L13" s="102">
        <v>0</v>
      </c>
      <c r="M13" s="128">
        <v>1</v>
      </c>
      <c r="N13" s="112">
        <v>2024003630006</v>
      </c>
      <c r="O13" s="127" t="s">
        <v>64</v>
      </c>
      <c r="P13" s="514" t="s">
        <v>71</v>
      </c>
      <c r="Q13" s="104">
        <v>61000000</v>
      </c>
      <c r="R13" s="659">
        <f>16000000</f>
        <v>16000000</v>
      </c>
      <c r="S13" s="111"/>
      <c r="T13" s="111"/>
      <c r="U13" s="104">
        <f t="shared" si="0"/>
        <v>45000000</v>
      </c>
      <c r="V13" s="458" t="s">
        <v>66</v>
      </c>
      <c r="W13" s="23">
        <v>20</v>
      </c>
      <c r="X13" s="28" t="s">
        <v>67</v>
      </c>
      <c r="Y13" s="115">
        <v>293304</v>
      </c>
      <c r="Z13" s="115">
        <v>272744</v>
      </c>
      <c r="AA13" s="115">
        <v>99059</v>
      </c>
      <c r="AB13" s="115">
        <v>36139</v>
      </c>
      <c r="AC13" s="115">
        <v>314186</v>
      </c>
      <c r="AD13" s="115">
        <v>116664</v>
      </c>
      <c r="AE13" s="115">
        <v>3247</v>
      </c>
      <c r="AF13" s="115">
        <v>6804</v>
      </c>
      <c r="AG13" s="115">
        <v>25</v>
      </c>
      <c r="AH13" s="115">
        <v>7</v>
      </c>
      <c r="AI13" s="115">
        <v>0</v>
      </c>
      <c r="AJ13" s="115">
        <v>0</v>
      </c>
      <c r="AK13" s="115">
        <v>50946</v>
      </c>
      <c r="AL13" s="115">
        <v>28554</v>
      </c>
      <c r="AM13" s="115">
        <v>53914</v>
      </c>
      <c r="AN13" s="115">
        <v>566048</v>
      </c>
      <c r="AO13" s="660">
        <v>46023</v>
      </c>
      <c r="AP13" s="660">
        <v>46387</v>
      </c>
      <c r="AQ13" s="110" t="s">
        <v>68</v>
      </c>
      <c r="AR13" s="661"/>
      <c r="AS13" s="661"/>
      <c r="AT13" s="661"/>
      <c r="AU13" s="661"/>
      <c r="AV13" s="661"/>
      <c r="AW13" s="661"/>
      <c r="AX13" s="661"/>
      <c r="AY13" s="661"/>
      <c r="AZ13" s="661"/>
      <c r="BA13" s="661"/>
      <c r="BB13" s="661"/>
      <c r="BC13" s="661"/>
      <c r="BD13" s="661"/>
      <c r="BE13" s="661"/>
      <c r="BF13" s="661"/>
    </row>
    <row r="14" spans="1:61" s="662" customFormat="1" ht="72" hidden="1">
      <c r="A14" s="112">
        <v>4</v>
      </c>
      <c r="B14" s="127" t="s">
        <v>58</v>
      </c>
      <c r="C14" s="112">
        <v>45</v>
      </c>
      <c r="D14" s="127" t="s">
        <v>59</v>
      </c>
      <c r="E14" s="112">
        <v>4599</v>
      </c>
      <c r="F14" s="127" t="s">
        <v>60</v>
      </c>
      <c r="G14" s="113">
        <v>4599002</v>
      </c>
      <c r="H14" s="528" t="s">
        <v>72</v>
      </c>
      <c r="I14" s="112">
        <v>459900200</v>
      </c>
      <c r="J14" s="528" t="s">
        <v>73</v>
      </c>
      <c r="K14" s="131">
        <v>1</v>
      </c>
      <c r="L14" s="102">
        <v>0</v>
      </c>
      <c r="M14" s="131">
        <v>1</v>
      </c>
      <c r="N14" s="112">
        <v>2024003630009</v>
      </c>
      <c r="O14" s="127" t="s">
        <v>74</v>
      </c>
      <c r="P14" s="514" t="s">
        <v>75</v>
      </c>
      <c r="Q14" s="104">
        <v>63000000</v>
      </c>
      <c r="R14" s="942">
        <f>14800000+16000000</f>
        <v>30800000</v>
      </c>
      <c r="S14" s="111"/>
      <c r="T14" s="111"/>
      <c r="U14" s="104">
        <f t="shared" si="0"/>
        <v>32200000</v>
      </c>
      <c r="V14" s="458" t="s">
        <v>76</v>
      </c>
      <c r="W14" s="23">
        <v>20</v>
      </c>
      <c r="X14" s="28" t="s">
        <v>67</v>
      </c>
      <c r="Y14" s="115">
        <v>293304</v>
      </c>
      <c r="Z14" s="115">
        <v>272744</v>
      </c>
      <c r="AA14" s="115">
        <v>99059</v>
      </c>
      <c r="AB14" s="115">
        <v>36139</v>
      </c>
      <c r="AC14" s="115">
        <v>314186</v>
      </c>
      <c r="AD14" s="115">
        <v>116664</v>
      </c>
      <c r="AE14" s="115">
        <v>3247</v>
      </c>
      <c r="AF14" s="115">
        <v>6804</v>
      </c>
      <c r="AG14" s="115">
        <v>25</v>
      </c>
      <c r="AH14" s="115">
        <v>7</v>
      </c>
      <c r="AI14" s="115">
        <v>0</v>
      </c>
      <c r="AJ14" s="115">
        <v>0</v>
      </c>
      <c r="AK14" s="115">
        <v>50946</v>
      </c>
      <c r="AL14" s="115">
        <v>28554</v>
      </c>
      <c r="AM14" s="115">
        <v>53914</v>
      </c>
      <c r="AN14" s="115">
        <v>566048</v>
      </c>
      <c r="AO14" s="660">
        <v>46023</v>
      </c>
      <c r="AP14" s="660">
        <v>46387</v>
      </c>
      <c r="AQ14" s="110" t="s">
        <v>68</v>
      </c>
      <c r="AR14" s="661"/>
      <c r="AS14" s="661"/>
      <c r="AT14" s="661"/>
      <c r="AU14" s="661"/>
      <c r="AV14" s="661"/>
      <c r="AW14" s="661"/>
      <c r="AX14" s="661"/>
      <c r="AY14" s="661"/>
      <c r="AZ14" s="661"/>
      <c r="BA14" s="661"/>
      <c r="BB14" s="661"/>
      <c r="BC14" s="661"/>
      <c r="BD14" s="661"/>
      <c r="BE14" s="661"/>
      <c r="BF14" s="661"/>
    </row>
    <row r="15" spans="1:61" s="662" customFormat="1" ht="72" hidden="1">
      <c r="A15" s="112">
        <v>4</v>
      </c>
      <c r="B15" s="127" t="s">
        <v>58</v>
      </c>
      <c r="C15" s="112">
        <v>45</v>
      </c>
      <c r="D15" s="127" t="s">
        <v>59</v>
      </c>
      <c r="E15" s="112">
        <v>4599</v>
      </c>
      <c r="F15" s="127" t="s">
        <v>60</v>
      </c>
      <c r="G15" s="113">
        <v>4599002</v>
      </c>
      <c r="H15" s="528" t="s">
        <v>72</v>
      </c>
      <c r="I15" s="112">
        <v>459900200</v>
      </c>
      <c r="J15" s="528" t="s">
        <v>73</v>
      </c>
      <c r="K15" s="131">
        <v>1</v>
      </c>
      <c r="L15" s="102">
        <v>0</v>
      </c>
      <c r="M15" s="131">
        <v>1</v>
      </c>
      <c r="N15" s="112">
        <v>2024003630009</v>
      </c>
      <c r="O15" s="127" t="s">
        <v>74</v>
      </c>
      <c r="P15" s="514" t="s">
        <v>77</v>
      </c>
      <c r="Q15" s="104">
        <v>48000000</v>
      </c>
      <c r="R15" s="942">
        <f>14800000+9600000</f>
        <v>24400000</v>
      </c>
      <c r="S15" s="111"/>
      <c r="T15" s="111"/>
      <c r="U15" s="104">
        <f t="shared" si="0"/>
        <v>23600000</v>
      </c>
      <c r="V15" s="612" t="s">
        <v>76</v>
      </c>
      <c r="W15" s="23">
        <v>20</v>
      </c>
      <c r="X15" s="28" t="s">
        <v>67</v>
      </c>
      <c r="Y15" s="115">
        <v>293304</v>
      </c>
      <c r="Z15" s="115">
        <v>272744</v>
      </c>
      <c r="AA15" s="115">
        <v>99059</v>
      </c>
      <c r="AB15" s="115">
        <v>36139</v>
      </c>
      <c r="AC15" s="115">
        <v>314186</v>
      </c>
      <c r="AD15" s="115">
        <v>116664</v>
      </c>
      <c r="AE15" s="115">
        <v>3247</v>
      </c>
      <c r="AF15" s="115">
        <v>6804</v>
      </c>
      <c r="AG15" s="115">
        <v>25</v>
      </c>
      <c r="AH15" s="115">
        <v>7</v>
      </c>
      <c r="AI15" s="115">
        <v>0</v>
      </c>
      <c r="AJ15" s="115">
        <v>0</v>
      </c>
      <c r="AK15" s="115">
        <v>50946</v>
      </c>
      <c r="AL15" s="115">
        <v>28554</v>
      </c>
      <c r="AM15" s="115">
        <v>53914</v>
      </c>
      <c r="AN15" s="115">
        <v>566048</v>
      </c>
      <c r="AO15" s="660">
        <v>46023</v>
      </c>
      <c r="AP15" s="660">
        <v>46387</v>
      </c>
      <c r="AQ15" s="110" t="s">
        <v>68</v>
      </c>
      <c r="AR15" s="661"/>
      <c r="AS15" s="661"/>
      <c r="AT15" s="661"/>
      <c r="AU15" s="661"/>
      <c r="AV15" s="661"/>
      <c r="AW15" s="661"/>
      <c r="AX15" s="661"/>
      <c r="AY15" s="661"/>
      <c r="AZ15" s="661"/>
      <c r="BA15" s="661"/>
      <c r="BB15" s="661"/>
      <c r="BC15" s="661"/>
      <c r="BD15" s="661"/>
      <c r="BE15" s="661"/>
      <c r="BF15" s="661"/>
    </row>
    <row r="16" spans="1:61" s="16" customFormat="1" ht="72" hidden="1">
      <c r="A16" s="112">
        <v>4</v>
      </c>
      <c r="B16" s="127" t="s">
        <v>58</v>
      </c>
      <c r="C16" s="112">
        <v>45</v>
      </c>
      <c r="D16" s="127" t="s">
        <v>59</v>
      </c>
      <c r="E16" s="112">
        <v>4599</v>
      </c>
      <c r="F16" s="127" t="s">
        <v>60</v>
      </c>
      <c r="G16" s="113">
        <v>4599002</v>
      </c>
      <c r="H16" s="528" t="s">
        <v>72</v>
      </c>
      <c r="I16" s="112">
        <v>459900200</v>
      </c>
      <c r="J16" s="528" t="s">
        <v>73</v>
      </c>
      <c r="K16" s="131">
        <v>1</v>
      </c>
      <c r="L16" s="102">
        <v>0</v>
      </c>
      <c r="M16" s="131">
        <v>1</v>
      </c>
      <c r="N16" s="112">
        <v>2024003630009</v>
      </c>
      <c r="O16" s="127" t="s">
        <v>74</v>
      </c>
      <c r="P16" s="514" t="s">
        <v>78</v>
      </c>
      <c r="Q16" s="663">
        <v>39000000</v>
      </c>
      <c r="R16" s="943"/>
      <c r="S16" s="664"/>
      <c r="T16" s="664"/>
      <c r="U16" s="104">
        <f t="shared" si="0"/>
        <v>39000000</v>
      </c>
      <c r="V16" s="612" t="s">
        <v>79</v>
      </c>
      <c r="W16" s="23">
        <v>20</v>
      </c>
      <c r="X16" s="28" t="s">
        <v>67</v>
      </c>
      <c r="Y16" s="115">
        <v>293304</v>
      </c>
      <c r="Z16" s="115">
        <v>272744</v>
      </c>
      <c r="AA16" s="115">
        <v>99059</v>
      </c>
      <c r="AB16" s="115">
        <v>36139</v>
      </c>
      <c r="AC16" s="115">
        <v>314186</v>
      </c>
      <c r="AD16" s="115">
        <v>116664</v>
      </c>
      <c r="AE16" s="115">
        <v>3247</v>
      </c>
      <c r="AF16" s="115">
        <v>6804</v>
      </c>
      <c r="AG16" s="115">
        <v>25</v>
      </c>
      <c r="AH16" s="115">
        <v>7</v>
      </c>
      <c r="AI16" s="115">
        <v>0</v>
      </c>
      <c r="AJ16" s="115">
        <v>0</v>
      </c>
      <c r="AK16" s="115">
        <v>50946</v>
      </c>
      <c r="AL16" s="115">
        <v>28554</v>
      </c>
      <c r="AM16" s="115">
        <v>53914</v>
      </c>
      <c r="AN16" s="115">
        <v>566048</v>
      </c>
      <c r="AO16" s="660">
        <v>46023</v>
      </c>
      <c r="AP16" s="660">
        <v>46387</v>
      </c>
      <c r="AQ16" s="110" t="s">
        <v>68</v>
      </c>
      <c r="AR16" s="107"/>
      <c r="AS16" s="107"/>
      <c r="AT16" s="107"/>
      <c r="AU16" s="107"/>
      <c r="AV16" s="107"/>
      <c r="AW16" s="107"/>
      <c r="AX16" s="107"/>
      <c r="AY16" s="107"/>
      <c r="AZ16" s="107"/>
      <c r="BA16" s="107"/>
      <c r="BB16" s="107"/>
      <c r="BC16" s="107"/>
      <c r="BD16" s="107"/>
      <c r="BE16" s="107"/>
      <c r="BF16" s="107"/>
    </row>
    <row r="17" spans="1:44" ht="106.5" hidden="1" customHeight="1">
      <c r="A17" s="112">
        <v>4</v>
      </c>
      <c r="B17" s="127" t="s">
        <v>58</v>
      </c>
      <c r="C17" s="112">
        <v>45</v>
      </c>
      <c r="D17" s="127" t="s">
        <v>59</v>
      </c>
      <c r="E17" s="114">
        <v>4599</v>
      </c>
      <c r="F17" s="665" t="s">
        <v>80</v>
      </c>
      <c r="G17" s="112">
        <v>4599036</v>
      </c>
      <c r="H17" s="528" t="s">
        <v>81</v>
      </c>
      <c r="I17" s="112">
        <v>459903600</v>
      </c>
      <c r="J17" s="528" t="s">
        <v>82</v>
      </c>
      <c r="K17" s="112">
        <v>1</v>
      </c>
      <c r="L17" s="102">
        <v>0</v>
      </c>
      <c r="M17" s="112">
        <v>1</v>
      </c>
      <c r="N17" s="112">
        <v>2024003630008</v>
      </c>
      <c r="O17" s="127" t="s">
        <v>83</v>
      </c>
      <c r="P17" s="514" t="s">
        <v>84</v>
      </c>
      <c r="Q17" s="663">
        <v>33000000</v>
      </c>
      <c r="R17" s="666"/>
      <c r="S17" s="667"/>
      <c r="T17" s="667"/>
      <c r="U17" s="104">
        <f t="shared" si="0"/>
        <v>33000000</v>
      </c>
      <c r="V17" s="612" t="s">
        <v>85</v>
      </c>
      <c r="W17" s="23">
        <v>20</v>
      </c>
      <c r="X17" s="28" t="s">
        <v>67</v>
      </c>
      <c r="Y17" s="115">
        <v>293304</v>
      </c>
      <c r="Z17" s="115">
        <v>272744</v>
      </c>
      <c r="AA17" s="115">
        <v>99059</v>
      </c>
      <c r="AB17" s="115">
        <v>36139</v>
      </c>
      <c r="AC17" s="115">
        <v>314186</v>
      </c>
      <c r="AD17" s="115">
        <v>116664</v>
      </c>
      <c r="AE17" s="115">
        <v>3247</v>
      </c>
      <c r="AF17" s="115">
        <v>6804</v>
      </c>
      <c r="AG17" s="115">
        <v>25</v>
      </c>
      <c r="AH17" s="115">
        <v>7</v>
      </c>
      <c r="AI17" s="115">
        <v>0</v>
      </c>
      <c r="AJ17" s="115">
        <v>0</v>
      </c>
      <c r="AK17" s="115">
        <v>50946</v>
      </c>
      <c r="AL17" s="115">
        <v>28554</v>
      </c>
      <c r="AM17" s="115">
        <v>53914</v>
      </c>
      <c r="AN17" s="115">
        <v>566048</v>
      </c>
      <c r="AO17" s="660">
        <v>46023</v>
      </c>
      <c r="AP17" s="660">
        <v>46387</v>
      </c>
      <c r="AQ17" s="110" t="s">
        <v>68</v>
      </c>
    </row>
    <row r="18" spans="1:44" ht="108" hidden="1" customHeight="1">
      <c r="A18" s="112">
        <v>4</v>
      </c>
      <c r="B18" s="127" t="s">
        <v>58</v>
      </c>
      <c r="C18" s="112">
        <v>45</v>
      </c>
      <c r="D18" s="127" t="s">
        <v>59</v>
      </c>
      <c r="E18" s="114">
        <v>4599</v>
      </c>
      <c r="F18" s="127" t="s">
        <v>86</v>
      </c>
      <c r="G18" s="112" t="s">
        <v>87</v>
      </c>
      <c r="H18" s="528" t="s">
        <v>88</v>
      </c>
      <c r="I18" s="112" t="s">
        <v>89</v>
      </c>
      <c r="J18" s="528" t="s">
        <v>88</v>
      </c>
      <c r="K18" s="112">
        <v>1</v>
      </c>
      <c r="L18" s="102">
        <v>0</v>
      </c>
      <c r="M18" s="112">
        <v>1</v>
      </c>
      <c r="N18" s="112">
        <v>2024003630131</v>
      </c>
      <c r="O18" s="127" t="s">
        <v>90</v>
      </c>
      <c r="P18" s="514" t="s">
        <v>91</v>
      </c>
      <c r="Q18" s="663">
        <v>10000000</v>
      </c>
      <c r="R18" s="666">
        <f>10000000</f>
        <v>10000000</v>
      </c>
      <c r="S18" s="667"/>
      <c r="T18" s="667"/>
      <c r="U18" s="104">
        <f t="shared" si="0"/>
        <v>0</v>
      </c>
      <c r="V18" s="668" t="s">
        <v>92</v>
      </c>
      <c r="W18" s="23">
        <v>20</v>
      </c>
      <c r="X18" s="28" t="s">
        <v>67</v>
      </c>
      <c r="Y18" s="115">
        <v>293304</v>
      </c>
      <c r="Z18" s="115">
        <v>272744</v>
      </c>
      <c r="AA18" s="115">
        <v>99059</v>
      </c>
      <c r="AB18" s="115">
        <v>36139</v>
      </c>
      <c r="AC18" s="115">
        <v>314186</v>
      </c>
      <c r="AD18" s="115">
        <v>116664</v>
      </c>
      <c r="AE18" s="115">
        <v>3247</v>
      </c>
      <c r="AF18" s="115">
        <v>6804</v>
      </c>
      <c r="AG18" s="115">
        <v>25</v>
      </c>
      <c r="AH18" s="115">
        <v>7</v>
      </c>
      <c r="AI18" s="115">
        <v>0</v>
      </c>
      <c r="AJ18" s="115">
        <v>0</v>
      </c>
      <c r="AK18" s="115">
        <v>50946</v>
      </c>
      <c r="AL18" s="115">
        <v>28554</v>
      </c>
      <c r="AM18" s="115">
        <v>53914</v>
      </c>
      <c r="AN18" s="115">
        <v>566048</v>
      </c>
      <c r="AO18" s="660">
        <v>46023</v>
      </c>
      <c r="AP18" s="660">
        <v>46387</v>
      </c>
      <c r="AQ18" s="110" t="s">
        <v>68</v>
      </c>
    </row>
    <row r="19" spans="1:44" ht="130.5" hidden="1" customHeight="1">
      <c r="A19" s="112">
        <v>4</v>
      </c>
      <c r="B19" s="127" t="s">
        <v>58</v>
      </c>
      <c r="C19" s="112">
        <v>45</v>
      </c>
      <c r="D19" s="127" t="s">
        <v>59</v>
      </c>
      <c r="E19" s="114">
        <v>4599</v>
      </c>
      <c r="F19" s="127" t="s">
        <v>86</v>
      </c>
      <c r="G19" s="112" t="s">
        <v>87</v>
      </c>
      <c r="H19" s="528" t="s">
        <v>88</v>
      </c>
      <c r="I19" s="112" t="s">
        <v>89</v>
      </c>
      <c r="J19" s="528" t="s">
        <v>88</v>
      </c>
      <c r="K19" s="112">
        <v>1</v>
      </c>
      <c r="L19" s="102">
        <v>0</v>
      </c>
      <c r="M19" s="112">
        <v>1</v>
      </c>
      <c r="N19" s="112">
        <v>2024003630131</v>
      </c>
      <c r="O19" s="127" t="s">
        <v>90</v>
      </c>
      <c r="P19" s="514" t="s">
        <v>93</v>
      </c>
      <c r="Q19" s="663">
        <v>70000000</v>
      </c>
      <c r="R19" s="666">
        <f>70000000</f>
        <v>70000000</v>
      </c>
      <c r="S19" s="667"/>
      <c r="T19" s="667"/>
      <c r="U19" s="104">
        <f t="shared" si="0"/>
        <v>0</v>
      </c>
      <c r="V19" s="668" t="s">
        <v>92</v>
      </c>
      <c r="W19" s="23">
        <v>20</v>
      </c>
      <c r="X19" s="28" t="s">
        <v>67</v>
      </c>
      <c r="Y19" s="115">
        <v>293304</v>
      </c>
      <c r="Z19" s="115">
        <v>272744</v>
      </c>
      <c r="AA19" s="115">
        <v>99059</v>
      </c>
      <c r="AB19" s="115">
        <v>36139</v>
      </c>
      <c r="AC19" s="115">
        <v>314186</v>
      </c>
      <c r="AD19" s="115">
        <v>116664</v>
      </c>
      <c r="AE19" s="115">
        <v>3247</v>
      </c>
      <c r="AF19" s="115">
        <v>6804</v>
      </c>
      <c r="AG19" s="115">
        <v>25</v>
      </c>
      <c r="AH19" s="115">
        <v>7</v>
      </c>
      <c r="AI19" s="115">
        <v>0</v>
      </c>
      <c r="AJ19" s="115">
        <v>0</v>
      </c>
      <c r="AK19" s="115">
        <v>50946</v>
      </c>
      <c r="AL19" s="115">
        <v>28554</v>
      </c>
      <c r="AM19" s="115">
        <v>53914</v>
      </c>
      <c r="AN19" s="115">
        <v>566048</v>
      </c>
      <c r="AO19" s="660">
        <v>46023</v>
      </c>
      <c r="AP19" s="660">
        <v>46387</v>
      </c>
      <c r="AQ19" s="110" t="s">
        <v>68</v>
      </c>
    </row>
    <row r="20" spans="1:44" ht="122.25" hidden="1" customHeight="1">
      <c r="A20" s="112">
        <v>4</v>
      </c>
      <c r="B20" s="127" t="s">
        <v>58</v>
      </c>
      <c r="C20" s="112">
        <v>45</v>
      </c>
      <c r="D20" s="127" t="s">
        <v>59</v>
      </c>
      <c r="E20" s="114">
        <v>4599</v>
      </c>
      <c r="F20" s="127" t="s">
        <v>86</v>
      </c>
      <c r="G20" s="112">
        <v>4599034</v>
      </c>
      <c r="H20" s="528" t="s">
        <v>88</v>
      </c>
      <c r="I20" s="112" t="s">
        <v>89</v>
      </c>
      <c r="J20" s="528" t="s">
        <v>88</v>
      </c>
      <c r="K20" s="112">
        <v>1</v>
      </c>
      <c r="L20" s="102">
        <v>0</v>
      </c>
      <c r="M20" s="112">
        <v>1</v>
      </c>
      <c r="N20" s="112">
        <v>2024003630131</v>
      </c>
      <c r="O20" s="127" t="s">
        <v>90</v>
      </c>
      <c r="P20" s="514" t="s">
        <v>94</v>
      </c>
      <c r="Q20" s="663">
        <v>10000000</v>
      </c>
      <c r="R20" s="666"/>
      <c r="S20" s="667"/>
      <c r="T20" s="667"/>
      <c r="U20" s="104">
        <f t="shared" si="0"/>
        <v>10000000</v>
      </c>
      <c r="V20" s="668" t="s">
        <v>95</v>
      </c>
      <c r="W20" s="23">
        <v>20</v>
      </c>
      <c r="X20" s="28" t="s">
        <v>67</v>
      </c>
      <c r="Y20" s="115">
        <v>293304</v>
      </c>
      <c r="Z20" s="115">
        <v>272744</v>
      </c>
      <c r="AA20" s="115">
        <v>99059</v>
      </c>
      <c r="AB20" s="115">
        <v>36139</v>
      </c>
      <c r="AC20" s="115">
        <v>314186</v>
      </c>
      <c r="AD20" s="115">
        <v>116664</v>
      </c>
      <c r="AE20" s="115">
        <v>3247</v>
      </c>
      <c r="AF20" s="115">
        <v>6804</v>
      </c>
      <c r="AG20" s="115">
        <v>25</v>
      </c>
      <c r="AH20" s="115">
        <v>7</v>
      </c>
      <c r="AI20" s="115">
        <v>0</v>
      </c>
      <c r="AJ20" s="115">
        <v>0</v>
      </c>
      <c r="AK20" s="115">
        <v>50946</v>
      </c>
      <c r="AL20" s="115">
        <v>28554</v>
      </c>
      <c r="AM20" s="115">
        <v>53914</v>
      </c>
      <c r="AN20" s="115">
        <v>566048</v>
      </c>
      <c r="AO20" s="660">
        <v>46023</v>
      </c>
      <c r="AP20" s="660">
        <v>46387</v>
      </c>
      <c r="AQ20" s="110" t="s">
        <v>68</v>
      </c>
    </row>
    <row r="21" spans="1:44" ht="108" hidden="1" customHeight="1">
      <c r="A21" s="112">
        <v>4</v>
      </c>
      <c r="B21" s="127" t="s">
        <v>58</v>
      </c>
      <c r="C21" s="112">
        <v>45</v>
      </c>
      <c r="D21" s="127" t="s">
        <v>59</v>
      </c>
      <c r="E21" s="114">
        <v>4599</v>
      </c>
      <c r="F21" s="127" t="s">
        <v>86</v>
      </c>
      <c r="G21" s="112" t="s">
        <v>87</v>
      </c>
      <c r="H21" s="528" t="s">
        <v>88</v>
      </c>
      <c r="I21" s="112" t="s">
        <v>89</v>
      </c>
      <c r="J21" s="528" t="s">
        <v>88</v>
      </c>
      <c r="K21" s="112">
        <v>1</v>
      </c>
      <c r="L21" s="102">
        <v>0</v>
      </c>
      <c r="M21" s="112">
        <v>1</v>
      </c>
      <c r="N21" s="112">
        <v>2024003630131</v>
      </c>
      <c r="O21" s="127" t="s">
        <v>90</v>
      </c>
      <c r="P21" s="514" t="s">
        <v>96</v>
      </c>
      <c r="Q21" s="663">
        <v>10000000</v>
      </c>
      <c r="R21" s="666"/>
      <c r="S21" s="667"/>
      <c r="T21" s="667"/>
      <c r="U21" s="104">
        <f t="shared" si="0"/>
        <v>10000000</v>
      </c>
      <c r="V21" s="668" t="s">
        <v>95</v>
      </c>
      <c r="W21" s="23">
        <v>20</v>
      </c>
      <c r="X21" s="28" t="s">
        <v>67</v>
      </c>
      <c r="Y21" s="115">
        <v>293304</v>
      </c>
      <c r="Z21" s="115">
        <v>272744</v>
      </c>
      <c r="AA21" s="115">
        <v>99059</v>
      </c>
      <c r="AB21" s="115">
        <v>36139</v>
      </c>
      <c r="AC21" s="115">
        <v>314186</v>
      </c>
      <c r="AD21" s="115">
        <v>116664</v>
      </c>
      <c r="AE21" s="115">
        <v>3247</v>
      </c>
      <c r="AF21" s="115">
        <v>6804</v>
      </c>
      <c r="AG21" s="115">
        <v>25</v>
      </c>
      <c r="AH21" s="115">
        <v>7</v>
      </c>
      <c r="AI21" s="115">
        <v>0</v>
      </c>
      <c r="AJ21" s="115">
        <v>0</v>
      </c>
      <c r="AK21" s="115">
        <v>50946</v>
      </c>
      <c r="AL21" s="115">
        <v>28554</v>
      </c>
      <c r="AM21" s="115">
        <v>53914</v>
      </c>
      <c r="AN21" s="115">
        <v>566048</v>
      </c>
      <c r="AO21" s="660">
        <v>46023</v>
      </c>
      <c r="AP21" s="660">
        <v>46387</v>
      </c>
      <c r="AQ21" s="110" t="s">
        <v>68</v>
      </c>
    </row>
    <row r="22" spans="1:44" ht="108" customHeight="1">
      <c r="A22" s="112">
        <v>4</v>
      </c>
      <c r="B22" s="127" t="s">
        <v>58</v>
      </c>
      <c r="C22" s="112">
        <v>45</v>
      </c>
      <c r="D22" s="127" t="s">
        <v>59</v>
      </c>
      <c r="E22" s="112">
        <v>4502</v>
      </c>
      <c r="F22" s="127" t="s">
        <v>97</v>
      </c>
      <c r="G22" s="113">
        <v>4502033</v>
      </c>
      <c r="H22" s="127" t="s">
        <v>98</v>
      </c>
      <c r="I22" s="112">
        <v>450203300</v>
      </c>
      <c r="J22" s="528" t="s">
        <v>99</v>
      </c>
      <c r="K22" s="128">
        <v>4</v>
      </c>
      <c r="L22" s="102">
        <v>0</v>
      </c>
      <c r="M22" s="128">
        <v>4</v>
      </c>
      <c r="N22" s="112">
        <v>2024003630010</v>
      </c>
      <c r="O22" s="127" t="s">
        <v>100</v>
      </c>
      <c r="P22" s="669" t="s">
        <v>101</v>
      </c>
      <c r="Q22" s="663">
        <v>5000000</v>
      </c>
      <c r="R22" s="666">
        <f>5000000</f>
        <v>5000000</v>
      </c>
      <c r="S22" s="667"/>
      <c r="T22" s="667"/>
      <c r="U22" s="104">
        <f t="shared" si="0"/>
        <v>0</v>
      </c>
      <c r="V22" s="668" t="s">
        <v>102</v>
      </c>
      <c r="W22" s="23">
        <v>20</v>
      </c>
      <c r="X22" s="28" t="s">
        <v>67</v>
      </c>
      <c r="Y22" s="115">
        <v>293304</v>
      </c>
      <c r="Z22" s="115">
        <v>272744</v>
      </c>
      <c r="AA22" s="115">
        <v>99059</v>
      </c>
      <c r="AB22" s="115">
        <v>36139</v>
      </c>
      <c r="AC22" s="115">
        <v>314186</v>
      </c>
      <c r="AD22" s="115">
        <v>116664</v>
      </c>
      <c r="AE22" s="115">
        <v>3247</v>
      </c>
      <c r="AF22" s="115">
        <v>6804</v>
      </c>
      <c r="AG22" s="115">
        <v>25</v>
      </c>
      <c r="AH22" s="115">
        <v>7</v>
      </c>
      <c r="AI22" s="115">
        <v>0</v>
      </c>
      <c r="AJ22" s="115">
        <v>0</v>
      </c>
      <c r="AK22" s="115">
        <v>50946</v>
      </c>
      <c r="AL22" s="115">
        <v>28554</v>
      </c>
      <c r="AM22" s="115">
        <v>53914</v>
      </c>
      <c r="AN22" s="115">
        <v>566048</v>
      </c>
      <c r="AO22" s="660">
        <v>46023</v>
      </c>
      <c r="AP22" s="660">
        <v>46387</v>
      </c>
      <c r="AQ22" s="110" t="s">
        <v>68</v>
      </c>
    </row>
    <row r="23" spans="1:44" ht="120.75" customHeight="1" thickBot="1">
      <c r="A23" s="112">
        <v>4</v>
      </c>
      <c r="B23" s="127" t="s">
        <v>58</v>
      </c>
      <c r="C23" s="112">
        <v>45</v>
      </c>
      <c r="D23" s="127" t="s">
        <v>59</v>
      </c>
      <c r="E23" s="112">
        <v>4502</v>
      </c>
      <c r="F23" s="127" t="s">
        <v>97</v>
      </c>
      <c r="G23" s="113">
        <v>4502033</v>
      </c>
      <c r="H23" s="127" t="s">
        <v>98</v>
      </c>
      <c r="I23" s="112" t="s">
        <v>103</v>
      </c>
      <c r="J23" s="528" t="s">
        <v>99</v>
      </c>
      <c r="K23" s="128">
        <v>4</v>
      </c>
      <c r="L23" s="102">
        <v>0</v>
      </c>
      <c r="M23" s="128">
        <v>4</v>
      </c>
      <c r="N23" s="112">
        <v>2024003630010</v>
      </c>
      <c r="O23" s="127" t="s">
        <v>100</v>
      </c>
      <c r="P23" s="669" t="s">
        <v>104</v>
      </c>
      <c r="Q23" s="663">
        <v>31000000</v>
      </c>
      <c r="R23" s="138">
        <f>14800000</f>
        <v>14800000</v>
      </c>
      <c r="S23" s="139"/>
      <c r="T23" s="139"/>
      <c r="U23" s="104">
        <f t="shared" si="0"/>
        <v>16200000</v>
      </c>
      <c r="V23" s="458" t="s">
        <v>105</v>
      </c>
      <c r="W23" s="23">
        <v>20</v>
      </c>
      <c r="X23" s="28" t="s">
        <v>67</v>
      </c>
      <c r="Y23" s="115">
        <v>293304</v>
      </c>
      <c r="Z23" s="115">
        <v>272744</v>
      </c>
      <c r="AA23" s="115">
        <v>99059</v>
      </c>
      <c r="AB23" s="115">
        <v>36139</v>
      </c>
      <c r="AC23" s="115">
        <v>314186</v>
      </c>
      <c r="AD23" s="115">
        <v>116664</v>
      </c>
      <c r="AE23" s="115">
        <v>3247</v>
      </c>
      <c r="AF23" s="115">
        <v>6804</v>
      </c>
      <c r="AG23" s="115">
        <v>25</v>
      </c>
      <c r="AH23" s="115">
        <v>7</v>
      </c>
      <c r="AI23" s="115">
        <v>0</v>
      </c>
      <c r="AJ23" s="115">
        <v>0</v>
      </c>
      <c r="AK23" s="115">
        <v>50946</v>
      </c>
      <c r="AL23" s="115">
        <v>28554</v>
      </c>
      <c r="AM23" s="115">
        <v>53914</v>
      </c>
      <c r="AN23" s="115">
        <v>566048</v>
      </c>
      <c r="AO23" s="660">
        <v>46023</v>
      </c>
      <c r="AP23" s="660">
        <v>46387</v>
      </c>
      <c r="AQ23" s="110" t="s">
        <v>68</v>
      </c>
    </row>
    <row r="24" spans="1:44" s="17" customFormat="1" ht="27.6" hidden="1" customHeight="1" thickBot="1">
      <c r="A24" s="20"/>
      <c r="B24" s="21"/>
      <c r="C24" s="21"/>
      <c r="D24" s="21"/>
      <c r="E24" s="21"/>
      <c r="F24" s="21"/>
      <c r="G24" s="21"/>
      <c r="H24" s="21"/>
      <c r="I24" s="21"/>
      <c r="J24" s="21"/>
      <c r="K24" s="21"/>
      <c r="L24" s="21"/>
      <c r="M24" s="21"/>
      <c r="N24" s="21"/>
      <c r="O24" s="21"/>
      <c r="P24" s="26"/>
      <c r="Q24" s="27">
        <f>SUM(Q10:Q23)</f>
        <v>509000000</v>
      </c>
      <c r="R24" s="30"/>
      <c r="S24" s="30"/>
      <c r="T24" s="30"/>
      <c r="U24" s="30"/>
      <c r="V24" s="21"/>
      <c r="W24" s="21"/>
      <c r="X24" s="21"/>
      <c r="Y24" s="21"/>
      <c r="Z24" s="21"/>
      <c r="AA24" s="21"/>
      <c r="AB24" s="21"/>
      <c r="AC24" s="21"/>
      <c r="AD24" s="21"/>
      <c r="AE24" s="21"/>
      <c r="AF24" s="21"/>
      <c r="AG24" s="21"/>
      <c r="AH24" s="21"/>
      <c r="AI24" s="21"/>
      <c r="AJ24" s="21"/>
      <c r="AK24" s="21"/>
      <c r="AL24" s="21"/>
      <c r="AM24" s="21"/>
      <c r="AN24" s="21"/>
      <c r="AO24" s="21"/>
      <c r="AP24" s="21"/>
      <c r="AQ24" s="22"/>
    </row>
    <row r="25" spans="1:44" s="17" customFormat="1" ht="14.25">
      <c r="W25" s="18"/>
      <c r="X25" s="18"/>
    </row>
    <row r="26" spans="1:44" s="17" customFormat="1" ht="14.25">
      <c r="W26" s="18"/>
      <c r="X26" s="18"/>
    </row>
    <row r="27" spans="1:44" s="17" customFormat="1" ht="14.25">
      <c r="W27" s="18"/>
      <c r="X27" s="18"/>
    </row>
    <row r="28" spans="1:44" s="17" customFormat="1" ht="14.25">
      <c r="W28" s="18"/>
      <c r="X28" s="18"/>
    </row>
    <row r="29" spans="1:44" s="17" customFormat="1">
      <c r="K29" s="980" t="s">
        <v>106</v>
      </c>
      <c r="L29" s="980"/>
      <c r="M29" s="980"/>
      <c r="N29" s="980"/>
      <c r="O29" s="980"/>
      <c r="P29" s="980"/>
      <c r="Q29" s="980"/>
      <c r="R29" s="37"/>
      <c r="S29" s="31"/>
      <c r="T29" s="31"/>
      <c r="U29" s="31"/>
      <c r="W29" s="18"/>
      <c r="X29" s="18"/>
    </row>
    <row r="30" spans="1:44">
      <c r="K30" s="981" t="s">
        <v>107</v>
      </c>
      <c r="L30" s="981"/>
      <c r="M30" s="981"/>
      <c r="N30" s="981"/>
      <c r="O30" s="981"/>
      <c r="P30" s="981"/>
      <c r="Q30" s="981"/>
      <c r="R30" s="38"/>
      <c r="S30" s="964"/>
      <c r="T30" s="964"/>
      <c r="U30" s="964"/>
    </row>
    <row r="31" spans="1:44">
      <c r="A31" s="17"/>
      <c r="B31" s="17"/>
      <c r="C31" s="17"/>
      <c r="D31" s="17"/>
      <c r="E31" s="17"/>
      <c r="F31" s="17"/>
      <c r="G31" s="17"/>
      <c r="H31" s="17"/>
      <c r="I31" s="17"/>
      <c r="J31" s="17"/>
      <c r="K31" s="17"/>
      <c r="L31" s="17"/>
      <c r="M31" s="17"/>
      <c r="N31" s="17"/>
      <c r="O31" s="17"/>
      <c r="P31" s="17"/>
      <c r="Q31" s="17"/>
      <c r="R31" s="17"/>
      <c r="S31" s="17"/>
      <c r="T31" s="17"/>
      <c r="U31" s="17"/>
      <c r="V31" s="17"/>
      <c r="W31" s="18"/>
      <c r="X31" s="18"/>
      <c r="Y31" s="17"/>
      <c r="Z31" s="17"/>
      <c r="AA31" s="17"/>
      <c r="AB31" s="17"/>
      <c r="AC31" s="17"/>
      <c r="AD31" s="17"/>
      <c r="AE31" s="17"/>
      <c r="AF31" s="17"/>
      <c r="AG31" s="17"/>
      <c r="AH31" s="17"/>
      <c r="AI31" s="17"/>
      <c r="AJ31" s="17"/>
      <c r="AK31" s="17"/>
      <c r="AL31" s="17"/>
      <c r="AM31" s="17"/>
      <c r="AN31" s="17"/>
      <c r="AO31" s="17"/>
      <c r="AP31" s="17"/>
      <c r="AQ31" s="17"/>
      <c r="AR31" s="17"/>
    </row>
    <row r="32" spans="1:44">
      <c r="A32" s="17"/>
      <c r="B32" s="17"/>
      <c r="C32" s="17"/>
      <c r="D32" s="17"/>
      <c r="E32" s="17"/>
      <c r="F32" s="17"/>
      <c r="G32" s="17"/>
      <c r="H32" s="17"/>
      <c r="I32" s="17"/>
      <c r="J32" s="17"/>
      <c r="K32" s="17"/>
      <c r="L32" s="17"/>
      <c r="M32" s="17"/>
      <c r="N32" s="17"/>
      <c r="O32" s="17"/>
      <c r="P32" s="17"/>
      <c r="Q32" s="17"/>
      <c r="R32" s="17"/>
      <c r="S32" s="17"/>
      <c r="T32" s="17"/>
      <c r="U32" s="17"/>
      <c r="V32" s="17"/>
      <c r="W32" s="18"/>
      <c r="X32" s="18"/>
      <c r="Y32" s="17"/>
      <c r="Z32" s="17"/>
      <c r="AA32" s="17"/>
      <c r="AB32" s="17"/>
      <c r="AC32" s="17"/>
      <c r="AD32" s="17"/>
      <c r="AE32" s="17"/>
      <c r="AF32" s="17"/>
      <c r="AG32" s="17"/>
      <c r="AH32" s="17"/>
      <c r="AI32" s="17"/>
      <c r="AJ32" s="17"/>
      <c r="AK32" s="17"/>
      <c r="AL32" s="17"/>
      <c r="AM32" s="17"/>
      <c r="AN32" s="17"/>
      <c r="AO32" s="17"/>
      <c r="AP32" s="17"/>
      <c r="AQ32" s="17"/>
      <c r="AR32" s="17"/>
    </row>
    <row r="33" spans="1:44">
      <c r="A33" s="17"/>
      <c r="B33" s="17"/>
      <c r="C33" s="17"/>
      <c r="D33" s="17"/>
      <c r="E33" s="17"/>
      <c r="F33" s="17"/>
      <c r="G33" s="979" t="s">
        <v>108</v>
      </c>
      <c r="H33" s="979"/>
      <c r="I33" s="982" t="s">
        <v>109</v>
      </c>
      <c r="J33" s="983"/>
      <c r="K33" s="984" t="s">
        <v>110</v>
      </c>
      <c r="L33" s="985"/>
      <c r="M33" s="985"/>
      <c r="N33" s="986"/>
      <c r="O33" s="17"/>
      <c r="P33" s="17"/>
      <c r="Q33" s="17"/>
      <c r="R33" s="17"/>
      <c r="S33" s="17"/>
      <c r="T33" s="17"/>
      <c r="U33" s="17"/>
      <c r="V33" s="17"/>
      <c r="W33" s="18"/>
      <c r="X33" s="18"/>
      <c r="Y33" s="17"/>
      <c r="Z33" s="17"/>
      <c r="AA33" s="17"/>
      <c r="AB33" s="17"/>
      <c r="AC33" s="17"/>
      <c r="AD33" s="17"/>
      <c r="AE33" s="17"/>
      <c r="AF33" s="17"/>
      <c r="AG33" s="17"/>
      <c r="AH33" s="17"/>
      <c r="AI33" s="17"/>
      <c r="AJ33" s="17"/>
      <c r="AK33" s="17"/>
      <c r="AL33" s="17"/>
      <c r="AM33" s="17"/>
      <c r="AN33" s="17"/>
      <c r="AO33" s="17"/>
      <c r="AP33" s="17"/>
      <c r="AQ33" s="17"/>
      <c r="AR33" s="17"/>
    </row>
    <row r="34" spans="1:44" ht="31.5" customHeight="1">
      <c r="A34" s="17"/>
      <c r="B34" s="17"/>
      <c r="C34" s="17"/>
      <c r="D34" s="17"/>
      <c r="E34" s="17"/>
      <c r="F34" s="17"/>
      <c r="G34" s="979" t="s">
        <v>111</v>
      </c>
      <c r="H34" s="979"/>
      <c r="I34" s="979" t="s">
        <v>112</v>
      </c>
      <c r="J34" s="979"/>
      <c r="K34" s="979" t="s">
        <v>113</v>
      </c>
      <c r="L34" s="979"/>
      <c r="M34" s="979"/>
      <c r="N34" s="979"/>
      <c r="O34" s="17"/>
      <c r="P34" s="17"/>
      <c r="Q34" s="17"/>
      <c r="R34" s="17"/>
      <c r="S34" s="17"/>
      <c r="T34" s="17"/>
      <c r="U34" s="17"/>
      <c r="V34" s="24"/>
      <c r="W34" s="18"/>
      <c r="X34" s="18"/>
      <c r="Y34" s="17"/>
      <c r="Z34" s="17"/>
      <c r="AA34" s="17"/>
      <c r="AB34" s="17"/>
      <c r="AC34" s="17"/>
      <c r="AD34" s="17"/>
      <c r="AE34" s="17"/>
      <c r="AF34" s="17"/>
      <c r="AG34" s="17"/>
      <c r="AH34" s="17"/>
      <c r="AI34" s="17"/>
      <c r="AJ34" s="17"/>
      <c r="AK34" s="17"/>
      <c r="AL34" s="17"/>
      <c r="AM34" s="17"/>
      <c r="AN34" s="17"/>
      <c r="AO34" s="17"/>
      <c r="AP34" s="17"/>
      <c r="AQ34" s="17"/>
      <c r="AR34" s="17"/>
    </row>
    <row r="35" spans="1:44" ht="25.5" customHeight="1">
      <c r="G35" s="979" t="s">
        <v>114</v>
      </c>
      <c r="H35" s="979"/>
      <c r="I35" s="979" t="s">
        <v>115</v>
      </c>
      <c r="J35" s="979"/>
      <c r="K35" s="979" t="s">
        <v>116</v>
      </c>
      <c r="L35" s="979"/>
      <c r="M35" s="979"/>
      <c r="N35" s="979"/>
    </row>
    <row r="36" spans="1:44">
      <c r="G36" s="19"/>
      <c r="H36" s="17"/>
      <c r="I36" s="17"/>
      <c r="J36" s="17"/>
    </row>
  </sheetData>
  <autoFilter ref="A9:BI24" xr:uid="{00000000-0001-0000-0000-000000000000}">
    <filterColumn colId="13">
      <filters>
        <filter val="2024003630010"/>
      </filters>
    </filterColumn>
  </autoFilter>
  <mergeCells count="32">
    <mergeCell ref="A1:B6"/>
    <mergeCell ref="C1:AO1"/>
    <mergeCell ref="C2:AO4"/>
    <mergeCell ref="C5:AO6"/>
    <mergeCell ref="A7:B8"/>
    <mergeCell ref="C7:D8"/>
    <mergeCell ref="E7:F8"/>
    <mergeCell ref="G7:H8"/>
    <mergeCell ref="I7:J8"/>
    <mergeCell ref="K7:M8"/>
    <mergeCell ref="AO7:AO9"/>
    <mergeCell ref="N7:Q8"/>
    <mergeCell ref="AP7:AP9"/>
    <mergeCell ref="AQ7:AQ9"/>
    <mergeCell ref="V8:X8"/>
    <mergeCell ref="Y8:Z8"/>
    <mergeCell ref="AA8:AD8"/>
    <mergeCell ref="AE8:AJ8"/>
    <mergeCell ref="AK8:AM8"/>
    <mergeCell ref="AN8:AN9"/>
    <mergeCell ref="Y7:AN7"/>
    <mergeCell ref="K29:Q29"/>
    <mergeCell ref="K30:Q30"/>
    <mergeCell ref="G33:H33"/>
    <mergeCell ref="I33:J33"/>
    <mergeCell ref="K33:N33"/>
    <mergeCell ref="G34:H34"/>
    <mergeCell ref="I34:J34"/>
    <mergeCell ref="K34:N34"/>
    <mergeCell ref="G35:H35"/>
    <mergeCell ref="I35:J35"/>
    <mergeCell ref="K35:N35"/>
  </mergeCells>
  <pageMargins left="0.25" right="0.25" top="0.75" bottom="0.75" header="0.3" footer="0.3"/>
  <pageSetup scale="22" fitToHeight="6" orientation="portrait"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filterMode="1">
    <pageSetUpPr fitToPage="1"/>
  </sheetPr>
  <dimension ref="A1:BI154"/>
  <sheetViews>
    <sheetView topLeftCell="O1" zoomScale="70" zoomScaleNormal="70" zoomScaleSheetLayoutView="70" workbookViewId="0">
      <selection activeCell="P10" sqref="P10"/>
    </sheetView>
  </sheetViews>
  <sheetFormatPr defaultColWidth="11.42578125" defaultRowHeight="15"/>
  <cols>
    <col min="1" max="1" width="12.28515625" customWidth="1"/>
    <col min="2" max="2" width="18.42578125" customWidth="1"/>
    <col min="3" max="3" width="9.42578125" customWidth="1"/>
    <col min="4" max="4" width="11.42578125" customWidth="1"/>
    <col min="5" max="5" width="9.7109375" customWidth="1"/>
    <col min="6" max="6" width="19" customWidth="1"/>
    <col min="7" max="7" width="13.7109375" customWidth="1"/>
    <col min="8" max="8" width="28.42578125" customWidth="1"/>
    <col min="9" max="9" width="13.7109375" customWidth="1"/>
    <col min="10" max="10" width="19" customWidth="1"/>
    <col min="11" max="13" width="15.7109375" customWidth="1"/>
    <col min="14" max="14" width="23" style="320" customWidth="1"/>
    <col min="15" max="15" width="40" customWidth="1"/>
    <col min="16" max="16" width="39.42578125" customWidth="1"/>
    <col min="17" max="17" width="21.5703125" style="319" customWidth="1"/>
    <col min="18" max="20" width="21.5703125" customWidth="1"/>
    <col min="21" max="21" width="21.5703125" style="319" customWidth="1"/>
    <col min="22" max="22" width="54.140625" customWidth="1"/>
    <col min="23" max="23" width="12" customWidth="1"/>
    <col min="24" max="24" width="17.42578125" customWidth="1"/>
    <col min="25" max="25" width="10.7109375" customWidth="1"/>
    <col min="26" max="26" width="11" customWidth="1"/>
    <col min="27" max="27" width="9.28515625" customWidth="1"/>
    <col min="28" max="28" width="7.42578125" customWidth="1"/>
    <col min="29" max="29" width="9.42578125" customWidth="1"/>
    <col min="30" max="30" width="8.42578125" customWidth="1"/>
    <col min="31" max="31" width="9.42578125" customWidth="1"/>
    <col min="32" max="32" width="8.85546875" customWidth="1"/>
    <col min="33" max="33" width="6.7109375" customWidth="1"/>
    <col min="34" max="34" width="6.42578125" customWidth="1"/>
    <col min="35" max="35" width="6.28515625" customWidth="1"/>
    <col min="36" max="36" width="6.42578125" customWidth="1"/>
    <col min="37" max="37" width="11.7109375" customWidth="1"/>
    <col min="38" max="38" width="10.85546875" customWidth="1"/>
    <col min="39" max="39" width="7.28515625" customWidth="1"/>
    <col min="40" max="40" width="11" customWidth="1"/>
    <col min="41" max="41" width="14.28515625" customWidth="1"/>
    <col min="42" max="42" width="14.42578125" customWidth="1"/>
    <col min="43" max="43" width="19.42578125" customWidth="1"/>
  </cols>
  <sheetData>
    <row r="1" spans="1:61">
      <c r="A1" s="1001"/>
      <c r="B1" s="1001"/>
      <c r="C1" s="1002" t="s">
        <v>0</v>
      </c>
      <c r="D1" s="1002"/>
      <c r="E1" s="1002"/>
      <c r="F1" s="1002"/>
      <c r="G1" s="1002"/>
      <c r="H1" s="1002"/>
      <c r="I1" s="1002"/>
      <c r="J1" s="1002"/>
      <c r="K1" s="1002"/>
      <c r="L1" s="1002"/>
      <c r="M1" s="1002"/>
      <c r="N1" s="1002"/>
      <c r="O1" s="1002"/>
      <c r="P1" s="1002"/>
      <c r="Q1" s="1002"/>
      <c r="R1" s="1002"/>
      <c r="S1" s="1002"/>
      <c r="T1" s="1002"/>
      <c r="U1" s="1002"/>
      <c r="V1" s="1002"/>
      <c r="W1" s="1002"/>
      <c r="X1" s="1002"/>
      <c r="Y1" s="1002"/>
      <c r="Z1" s="1002"/>
      <c r="AA1" s="1002"/>
      <c r="AB1" s="1002"/>
      <c r="AC1" s="1002"/>
      <c r="AD1" s="1002"/>
      <c r="AE1" s="1002"/>
      <c r="AF1" s="1002"/>
      <c r="AG1" s="1002"/>
      <c r="AH1" s="1002"/>
      <c r="AI1" s="1002"/>
      <c r="AJ1" s="1002"/>
      <c r="AK1" s="1002"/>
      <c r="AL1" s="1002"/>
      <c r="AM1" s="1002"/>
      <c r="AN1" s="1002"/>
      <c r="AO1" s="1002"/>
    </row>
    <row r="2" spans="1:61" s="2" customFormat="1" ht="12.75">
      <c r="A2" s="1001"/>
      <c r="B2" s="1001"/>
      <c r="C2" s="1003" t="s">
        <v>1352</v>
      </c>
      <c r="D2" s="1003"/>
      <c r="E2" s="1003"/>
      <c r="F2" s="1003"/>
      <c r="G2" s="1003"/>
      <c r="H2" s="1003"/>
      <c r="I2" s="1003"/>
      <c r="J2" s="1003"/>
      <c r="K2" s="1003"/>
      <c r="L2" s="1003"/>
      <c r="M2" s="1003"/>
      <c r="N2" s="1003"/>
      <c r="O2" s="1003"/>
      <c r="P2" s="1003"/>
      <c r="Q2" s="1003"/>
      <c r="R2" s="1003"/>
      <c r="S2" s="1003"/>
      <c r="T2" s="1003"/>
      <c r="U2" s="1003"/>
      <c r="V2" s="1003"/>
      <c r="W2" s="1003"/>
      <c r="X2" s="1003"/>
      <c r="Y2" s="1003"/>
      <c r="Z2" s="1003"/>
      <c r="AA2" s="1003"/>
      <c r="AB2" s="1003"/>
      <c r="AC2" s="1003"/>
      <c r="AD2" s="1003"/>
      <c r="AE2" s="1003"/>
      <c r="AF2" s="1003"/>
      <c r="AG2" s="1003"/>
      <c r="AH2" s="1003"/>
      <c r="AI2" s="1003"/>
      <c r="AJ2" s="1003"/>
      <c r="AK2" s="1003"/>
      <c r="AL2" s="1003"/>
      <c r="AM2" s="1003"/>
      <c r="AN2" s="1003"/>
      <c r="AO2" s="1003"/>
      <c r="AP2" s="25" t="s">
        <v>2</v>
      </c>
      <c r="AQ2" s="957" t="s">
        <v>3</v>
      </c>
      <c r="AR2" s="1"/>
      <c r="AS2" s="1"/>
      <c r="AT2" s="1"/>
      <c r="AU2" s="1"/>
      <c r="AV2" s="1"/>
      <c r="AW2" s="1"/>
      <c r="AX2" s="1"/>
      <c r="AY2" s="1"/>
      <c r="AZ2" s="1"/>
      <c r="BA2" s="1"/>
      <c r="BB2" s="1"/>
      <c r="BC2" s="1"/>
      <c r="BD2" s="1"/>
      <c r="BE2" s="1"/>
      <c r="BF2" s="1"/>
      <c r="BG2" s="1"/>
      <c r="BH2" s="1"/>
      <c r="BI2" s="1"/>
    </row>
    <row r="3" spans="1:61" s="2" customFormat="1" ht="12.75">
      <c r="A3" s="1001"/>
      <c r="B3" s="1001"/>
      <c r="C3" s="1003"/>
      <c r="D3" s="1003"/>
      <c r="E3" s="1003"/>
      <c r="F3" s="1003"/>
      <c r="G3" s="1003"/>
      <c r="H3" s="1003"/>
      <c r="I3" s="1003"/>
      <c r="J3" s="1003"/>
      <c r="K3" s="1003"/>
      <c r="L3" s="1003"/>
      <c r="M3" s="1003"/>
      <c r="N3" s="1003"/>
      <c r="O3" s="1003"/>
      <c r="P3" s="1003"/>
      <c r="Q3" s="1003"/>
      <c r="R3" s="1003"/>
      <c r="S3" s="1003"/>
      <c r="T3" s="1003"/>
      <c r="U3" s="1003"/>
      <c r="V3" s="1003"/>
      <c r="W3" s="1003"/>
      <c r="X3" s="1003"/>
      <c r="Y3" s="1003"/>
      <c r="Z3" s="1003"/>
      <c r="AA3" s="1003"/>
      <c r="AB3" s="1003"/>
      <c r="AC3" s="1003"/>
      <c r="AD3" s="1003"/>
      <c r="AE3" s="1003"/>
      <c r="AF3" s="1003"/>
      <c r="AG3" s="1003"/>
      <c r="AH3" s="1003"/>
      <c r="AI3" s="1003"/>
      <c r="AJ3" s="1003"/>
      <c r="AK3" s="1003"/>
      <c r="AL3" s="1003"/>
      <c r="AM3" s="1003"/>
      <c r="AN3" s="1003"/>
      <c r="AO3" s="1003"/>
      <c r="AP3" s="42" t="s">
        <v>4</v>
      </c>
      <c r="AQ3" s="40">
        <v>14</v>
      </c>
      <c r="AR3" s="1"/>
      <c r="AS3" s="1"/>
      <c r="AT3" s="1"/>
      <c r="AU3" s="1"/>
      <c r="AV3" s="1"/>
      <c r="AW3" s="1"/>
      <c r="AX3" s="1"/>
      <c r="AY3" s="1"/>
      <c r="AZ3" s="1"/>
      <c r="BA3" s="1"/>
      <c r="BB3" s="1"/>
      <c r="BC3" s="1"/>
      <c r="BD3" s="1"/>
      <c r="BE3" s="1"/>
      <c r="BF3" s="1"/>
      <c r="BG3" s="1"/>
      <c r="BH3" s="1"/>
      <c r="BI3" s="1"/>
    </row>
    <row r="4" spans="1:61" s="2" customFormat="1" ht="12.75">
      <c r="A4" s="1001"/>
      <c r="B4" s="1001"/>
      <c r="C4" s="1003"/>
      <c r="D4" s="1003"/>
      <c r="E4" s="1003"/>
      <c r="F4" s="1003"/>
      <c r="G4" s="1003"/>
      <c r="H4" s="1003"/>
      <c r="I4" s="1003"/>
      <c r="J4" s="1003"/>
      <c r="K4" s="1003"/>
      <c r="L4" s="1003"/>
      <c r="M4" s="1003"/>
      <c r="N4" s="1003"/>
      <c r="O4" s="1003"/>
      <c r="P4" s="1003"/>
      <c r="Q4" s="1003"/>
      <c r="R4" s="1003"/>
      <c r="S4" s="1003"/>
      <c r="T4" s="1003"/>
      <c r="U4" s="1003"/>
      <c r="V4" s="1003"/>
      <c r="W4" s="1003"/>
      <c r="X4" s="1003"/>
      <c r="Y4" s="1003"/>
      <c r="Z4" s="1003"/>
      <c r="AA4" s="1003"/>
      <c r="AB4" s="1003"/>
      <c r="AC4" s="1003"/>
      <c r="AD4" s="1003"/>
      <c r="AE4" s="1003"/>
      <c r="AF4" s="1003"/>
      <c r="AG4" s="1003"/>
      <c r="AH4" s="1003"/>
      <c r="AI4" s="1003"/>
      <c r="AJ4" s="1003"/>
      <c r="AK4" s="1003"/>
      <c r="AL4" s="1003"/>
      <c r="AM4" s="1003"/>
      <c r="AN4" s="1003"/>
      <c r="AO4" s="1003"/>
      <c r="AP4" s="42" t="s">
        <v>5</v>
      </c>
      <c r="AQ4" s="41">
        <v>45884</v>
      </c>
      <c r="AR4" s="1"/>
      <c r="AS4" s="1"/>
      <c r="AT4" s="1"/>
      <c r="AU4" s="1"/>
      <c r="AV4" s="1"/>
      <c r="AW4" s="1"/>
      <c r="AX4" s="1"/>
      <c r="AY4" s="1"/>
      <c r="AZ4" s="1"/>
      <c r="BA4" s="1"/>
      <c r="BB4" s="1"/>
      <c r="BC4" s="1"/>
      <c r="BD4" s="1"/>
      <c r="BE4" s="1"/>
      <c r="BF4" s="1"/>
      <c r="BG4" s="1"/>
      <c r="BH4" s="1"/>
      <c r="BI4" s="1"/>
    </row>
    <row r="5" spans="1:61" s="2" customFormat="1" ht="12.75">
      <c r="A5" s="1001"/>
      <c r="B5" s="1001"/>
      <c r="C5" s="1004" t="s">
        <v>6</v>
      </c>
      <c r="D5" s="1004"/>
      <c r="E5" s="1004"/>
      <c r="F5" s="1004"/>
      <c r="G5" s="1004"/>
      <c r="H5" s="1004"/>
      <c r="I5" s="1004"/>
      <c r="J5" s="1004"/>
      <c r="K5" s="1004"/>
      <c r="L5" s="1004"/>
      <c r="M5" s="1004"/>
      <c r="N5" s="1004"/>
      <c r="O5" s="1004"/>
      <c r="P5" s="1004"/>
      <c r="Q5" s="1004"/>
      <c r="R5" s="1004"/>
      <c r="S5" s="1004"/>
      <c r="T5" s="1004"/>
      <c r="U5" s="1004"/>
      <c r="V5" s="1004"/>
      <c r="W5" s="1004"/>
      <c r="X5" s="1004"/>
      <c r="Y5" s="1004"/>
      <c r="Z5" s="1004"/>
      <c r="AA5" s="1004"/>
      <c r="AB5" s="1004"/>
      <c r="AC5" s="1004"/>
      <c r="AD5" s="1004"/>
      <c r="AE5" s="1004"/>
      <c r="AF5" s="1004"/>
      <c r="AG5" s="1004"/>
      <c r="AH5" s="1004"/>
      <c r="AI5" s="1004"/>
      <c r="AJ5" s="1004"/>
      <c r="AK5" s="1004"/>
      <c r="AL5" s="1004"/>
      <c r="AM5" s="1004"/>
      <c r="AN5" s="1004"/>
      <c r="AO5" s="1004"/>
      <c r="AP5" s="25" t="s">
        <v>7</v>
      </c>
      <c r="AQ5" s="3" t="s">
        <v>8</v>
      </c>
      <c r="AR5" s="1"/>
      <c r="AS5" s="1"/>
      <c r="AT5" s="1"/>
      <c r="AU5" s="1"/>
      <c r="AV5" s="1"/>
      <c r="AW5" s="1"/>
      <c r="AX5" s="1"/>
      <c r="AY5" s="1"/>
      <c r="AZ5" s="1"/>
      <c r="BA5" s="1"/>
      <c r="BB5" s="1"/>
      <c r="BC5" s="1"/>
      <c r="BD5" s="1"/>
      <c r="BE5" s="1"/>
      <c r="BF5" s="1"/>
      <c r="BG5" s="1"/>
      <c r="BH5" s="1"/>
      <c r="BI5" s="1"/>
    </row>
    <row r="6" spans="1:61" s="2" customFormat="1" ht="12.75">
      <c r="A6" s="1001"/>
      <c r="B6" s="1001"/>
      <c r="C6" s="1004"/>
      <c r="D6" s="1004"/>
      <c r="E6" s="1004"/>
      <c r="F6" s="1004"/>
      <c r="G6" s="1004"/>
      <c r="H6" s="1004"/>
      <c r="I6" s="1004"/>
      <c r="J6" s="1004"/>
      <c r="K6" s="1005"/>
      <c r="L6" s="1005"/>
      <c r="M6" s="1005"/>
      <c r="N6" s="1004"/>
      <c r="O6" s="1004"/>
      <c r="P6" s="1004"/>
      <c r="Q6" s="1004"/>
      <c r="R6" s="1004"/>
      <c r="S6" s="1004"/>
      <c r="T6" s="1004"/>
      <c r="U6" s="1004"/>
      <c r="V6" s="1004"/>
      <c r="W6" s="1004"/>
      <c r="X6" s="1004"/>
      <c r="Y6" s="1004"/>
      <c r="Z6" s="1004"/>
      <c r="AA6" s="1004"/>
      <c r="AB6" s="1004"/>
      <c r="AC6" s="1004"/>
      <c r="AD6" s="1004"/>
      <c r="AE6" s="1004"/>
      <c r="AF6" s="1004"/>
      <c r="AG6" s="1004"/>
      <c r="AH6" s="1004"/>
      <c r="AI6" s="1004"/>
      <c r="AJ6" s="1004"/>
      <c r="AK6" s="1004"/>
      <c r="AL6" s="1004"/>
      <c r="AM6" s="1004"/>
      <c r="AN6" s="1004"/>
      <c r="AO6" s="1004"/>
      <c r="AP6" s="4"/>
      <c r="AQ6" s="5"/>
      <c r="AR6" s="1"/>
      <c r="AS6" s="1"/>
      <c r="AT6" s="1"/>
      <c r="AU6" s="1"/>
      <c r="AV6" s="1"/>
      <c r="AW6" s="1"/>
      <c r="AX6" s="1"/>
      <c r="AY6" s="1"/>
      <c r="AZ6" s="1"/>
      <c r="BA6" s="1"/>
      <c r="BB6" s="1"/>
      <c r="BC6" s="1"/>
      <c r="BD6" s="1"/>
      <c r="BE6" s="1"/>
      <c r="BF6" s="1"/>
      <c r="BG6" s="1"/>
      <c r="BH6" s="1"/>
      <c r="BI6" s="1"/>
    </row>
    <row r="7" spans="1:61">
      <c r="A7" s="1006" t="s">
        <v>9</v>
      </c>
      <c r="B7" s="1007"/>
      <c r="C7" s="1006" t="s">
        <v>10</v>
      </c>
      <c r="D7" s="1010"/>
      <c r="E7" s="1006" t="s">
        <v>11</v>
      </c>
      <c r="F7" s="1010"/>
      <c r="G7" s="1006" t="s">
        <v>12</v>
      </c>
      <c r="H7" s="1010"/>
      <c r="I7" s="1012" t="s">
        <v>13</v>
      </c>
      <c r="J7" s="1012"/>
      <c r="K7" s="1014" t="s">
        <v>14</v>
      </c>
      <c r="L7" s="1014"/>
      <c r="M7" s="1014"/>
      <c r="N7" s="1015" t="s">
        <v>15</v>
      </c>
      <c r="O7" s="1015"/>
      <c r="P7" s="1015"/>
      <c r="Q7" s="1015"/>
      <c r="R7" s="33"/>
      <c r="S7" s="958"/>
      <c r="T7" s="958"/>
      <c r="U7" s="286"/>
      <c r="V7" s="6"/>
      <c r="W7" s="6"/>
      <c r="X7" s="7"/>
      <c r="Y7" s="998" t="s">
        <v>16</v>
      </c>
      <c r="Z7" s="999"/>
      <c r="AA7" s="999"/>
      <c r="AB7" s="999"/>
      <c r="AC7" s="999"/>
      <c r="AD7" s="999"/>
      <c r="AE7" s="999"/>
      <c r="AF7" s="999"/>
      <c r="AG7" s="999"/>
      <c r="AH7" s="999"/>
      <c r="AI7" s="999"/>
      <c r="AJ7" s="999"/>
      <c r="AK7" s="999"/>
      <c r="AL7" s="999"/>
      <c r="AM7" s="999"/>
      <c r="AN7" s="1000"/>
      <c r="AO7" s="987" t="s">
        <v>17</v>
      </c>
      <c r="AP7" s="987" t="s">
        <v>18</v>
      </c>
      <c r="AQ7" s="987" t="s">
        <v>19</v>
      </c>
    </row>
    <row r="8" spans="1:61" s="9" customFormat="1" ht="12.75">
      <c r="A8" s="1008"/>
      <c r="B8" s="1009"/>
      <c r="C8" s="1008"/>
      <c r="D8" s="1011"/>
      <c r="E8" s="1008"/>
      <c r="F8" s="1011"/>
      <c r="G8" s="1008"/>
      <c r="H8" s="1011"/>
      <c r="I8" s="1013"/>
      <c r="J8" s="1013"/>
      <c r="K8" s="1014"/>
      <c r="L8" s="1014"/>
      <c r="M8" s="1014"/>
      <c r="N8" s="1016"/>
      <c r="O8" s="1016"/>
      <c r="P8" s="1016"/>
      <c r="Q8" s="1016"/>
      <c r="R8" s="34"/>
      <c r="S8" s="959"/>
      <c r="T8" s="959"/>
      <c r="U8" s="287"/>
      <c r="V8" s="990" t="s">
        <v>20</v>
      </c>
      <c r="W8" s="991"/>
      <c r="X8" s="992"/>
      <c r="Y8" s="993" t="s">
        <v>21</v>
      </c>
      <c r="Z8" s="994"/>
      <c r="AA8" s="995" t="s">
        <v>22</v>
      </c>
      <c r="AB8" s="994"/>
      <c r="AC8" s="994"/>
      <c r="AD8" s="994"/>
      <c r="AE8" s="996" t="s">
        <v>23</v>
      </c>
      <c r="AF8" s="994"/>
      <c r="AG8" s="994"/>
      <c r="AH8" s="994"/>
      <c r="AI8" s="994"/>
      <c r="AJ8" s="994"/>
      <c r="AK8" s="995" t="s">
        <v>24</v>
      </c>
      <c r="AL8" s="994"/>
      <c r="AM8" s="994"/>
      <c r="AN8" s="997" t="s">
        <v>25</v>
      </c>
      <c r="AO8" s="988"/>
      <c r="AP8" s="988"/>
      <c r="AQ8" s="988"/>
      <c r="AR8" s="8"/>
      <c r="AS8" s="8"/>
      <c r="AT8" s="8"/>
      <c r="AU8" s="8"/>
      <c r="AV8" s="8"/>
      <c r="AW8" s="8"/>
      <c r="AX8" s="8"/>
      <c r="AY8" s="8"/>
      <c r="AZ8" s="8"/>
      <c r="BA8" s="8"/>
      <c r="BB8" s="8"/>
      <c r="BC8" s="8"/>
      <c r="BD8" s="8"/>
      <c r="BE8" s="8"/>
      <c r="BF8" s="8"/>
    </row>
    <row r="9" spans="1:61" s="16" customFormat="1" ht="71.25" customHeight="1">
      <c r="A9" s="10" t="s">
        <v>26</v>
      </c>
      <c r="B9" s="10" t="s">
        <v>27</v>
      </c>
      <c r="C9" s="10" t="s">
        <v>28</v>
      </c>
      <c r="D9" s="11" t="s">
        <v>29</v>
      </c>
      <c r="E9" s="11" t="s">
        <v>28</v>
      </c>
      <c r="F9" s="11" t="s">
        <v>29</v>
      </c>
      <c r="G9" s="12" t="s">
        <v>26</v>
      </c>
      <c r="H9" s="12" t="s">
        <v>29</v>
      </c>
      <c r="I9" s="12" t="s">
        <v>30</v>
      </c>
      <c r="J9" s="12" t="s">
        <v>31</v>
      </c>
      <c r="K9" s="39" t="s">
        <v>32</v>
      </c>
      <c r="L9" s="39" t="s">
        <v>33</v>
      </c>
      <c r="M9" s="39" t="s">
        <v>1353</v>
      </c>
      <c r="N9" s="288" t="s">
        <v>34</v>
      </c>
      <c r="O9" s="12" t="s">
        <v>35</v>
      </c>
      <c r="P9" s="11" t="s">
        <v>36</v>
      </c>
      <c r="Q9" s="289" t="s">
        <v>37</v>
      </c>
      <c r="R9" s="35" t="s">
        <v>38</v>
      </c>
      <c r="S9" s="13" t="s">
        <v>39</v>
      </c>
      <c r="T9" s="13" t="s">
        <v>40</v>
      </c>
      <c r="U9" s="289" t="s">
        <v>41</v>
      </c>
      <c r="V9" s="10" t="s">
        <v>42</v>
      </c>
      <c r="W9" s="11" t="s">
        <v>26</v>
      </c>
      <c r="X9" s="11" t="s">
        <v>27</v>
      </c>
      <c r="Y9" s="14" t="s">
        <v>43</v>
      </c>
      <c r="Z9" s="15" t="s">
        <v>44</v>
      </c>
      <c r="AA9" s="14" t="s">
        <v>45</v>
      </c>
      <c r="AB9" s="14" t="s">
        <v>46</v>
      </c>
      <c r="AC9" s="14" t="s">
        <v>47</v>
      </c>
      <c r="AD9" s="14" t="s">
        <v>48</v>
      </c>
      <c r="AE9" s="14" t="s">
        <v>49</v>
      </c>
      <c r="AF9" s="14" t="s">
        <v>50</v>
      </c>
      <c r="AG9" s="14" t="s">
        <v>51</v>
      </c>
      <c r="AH9" s="14" t="s">
        <v>52</v>
      </c>
      <c r="AI9" s="14" t="s">
        <v>53</v>
      </c>
      <c r="AJ9" s="14" t="s">
        <v>54</v>
      </c>
      <c r="AK9" s="14" t="s">
        <v>55</v>
      </c>
      <c r="AL9" s="14" t="s">
        <v>56</v>
      </c>
      <c r="AM9" s="14" t="s">
        <v>57</v>
      </c>
      <c r="AN9" s="997"/>
      <c r="AO9" s="989"/>
      <c r="AP9" s="989"/>
      <c r="AQ9" s="989"/>
      <c r="AR9" s="8"/>
      <c r="AS9" s="8"/>
      <c r="AT9" s="8"/>
      <c r="AU9" s="8"/>
      <c r="AV9" s="8"/>
      <c r="AW9" s="8"/>
      <c r="AX9" s="8"/>
      <c r="AY9" s="8"/>
      <c r="AZ9" s="8"/>
      <c r="BA9" s="8"/>
      <c r="BB9" s="8"/>
      <c r="BC9" s="8"/>
      <c r="BD9" s="8"/>
      <c r="BE9" s="8"/>
      <c r="BF9" s="8"/>
    </row>
    <row r="10" spans="1:61" ht="128.25">
      <c r="A10" s="299">
        <v>1</v>
      </c>
      <c r="B10" s="781" t="s">
        <v>513</v>
      </c>
      <c r="C10" s="782">
        <v>41</v>
      </c>
      <c r="D10" s="782" t="s">
        <v>1354</v>
      </c>
      <c r="E10" s="299">
        <v>4102</v>
      </c>
      <c r="F10" s="781" t="s">
        <v>1355</v>
      </c>
      <c r="G10" s="299">
        <v>4102042</v>
      </c>
      <c r="H10" s="781" t="s">
        <v>1356</v>
      </c>
      <c r="I10" s="299">
        <v>410204200</v>
      </c>
      <c r="J10" s="781" t="s">
        <v>1357</v>
      </c>
      <c r="K10" s="299">
        <v>12</v>
      </c>
      <c r="L10" s="299"/>
      <c r="M10" s="299">
        <f>K10+L10</f>
        <v>12</v>
      </c>
      <c r="N10" s="783">
        <v>2024003630044</v>
      </c>
      <c r="O10" s="781" t="s">
        <v>1358</v>
      </c>
      <c r="P10" s="872" t="s">
        <v>1359</v>
      </c>
      <c r="Q10" s="290">
        <v>40000000</v>
      </c>
      <c r="R10" s="301"/>
      <c r="S10" s="301"/>
      <c r="T10" s="301"/>
      <c r="U10" s="302">
        <f>Q10</f>
        <v>40000000</v>
      </c>
      <c r="V10" s="784" t="s">
        <v>1360</v>
      </c>
      <c r="W10" s="294">
        <v>20</v>
      </c>
      <c r="X10" s="300" t="s">
        <v>67</v>
      </c>
      <c r="Y10" s="785">
        <v>650</v>
      </c>
      <c r="Z10" s="785">
        <v>600</v>
      </c>
      <c r="AA10" s="785">
        <v>350</v>
      </c>
      <c r="AB10" s="785">
        <v>400</v>
      </c>
      <c r="AC10" s="785">
        <v>300</v>
      </c>
      <c r="AD10" s="785">
        <v>200</v>
      </c>
      <c r="AE10" s="304"/>
      <c r="AF10" s="304"/>
      <c r="AG10" s="304"/>
      <c r="AH10" s="304"/>
      <c r="AI10" s="304"/>
      <c r="AJ10" s="304"/>
      <c r="AK10" s="304"/>
      <c r="AL10" s="304"/>
      <c r="AM10" s="304"/>
      <c r="AN10" s="786">
        <f t="shared" ref="AN10:AN19" si="0">Y10+Z10</f>
        <v>1250</v>
      </c>
      <c r="AO10" s="306">
        <v>46023</v>
      </c>
      <c r="AP10" s="306">
        <v>46387</v>
      </c>
      <c r="AQ10" s="307" t="s">
        <v>1361</v>
      </c>
      <c r="AR10" s="787"/>
    </row>
    <row r="11" spans="1:61" ht="128.25">
      <c r="A11" s="299">
        <v>1</v>
      </c>
      <c r="B11" s="781" t="s">
        <v>513</v>
      </c>
      <c r="C11" s="782">
        <v>41</v>
      </c>
      <c r="D11" s="782" t="s">
        <v>1354</v>
      </c>
      <c r="E11" s="299">
        <v>4102</v>
      </c>
      <c r="F11" s="781" t="s">
        <v>1355</v>
      </c>
      <c r="G11" s="299">
        <v>4102042</v>
      </c>
      <c r="H11" s="781" t="s">
        <v>1356</v>
      </c>
      <c r="I11" s="299">
        <v>410204200</v>
      </c>
      <c r="J11" s="781" t="s">
        <v>1357</v>
      </c>
      <c r="K11" s="299">
        <v>12</v>
      </c>
      <c r="L11" s="299"/>
      <c r="M11" s="299">
        <f>K11+L11</f>
        <v>12</v>
      </c>
      <c r="N11" s="783">
        <v>2024003630044</v>
      </c>
      <c r="O11" s="781" t="s">
        <v>1358</v>
      </c>
      <c r="P11" s="872" t="s">
        <v>1362</v>
      </c>
      <c r="Q11" s="290">
        <v>20000000</v>
      </c>
      <c r="R11" s="301"/>
      <c r="S11" s="301"/>
      <c r="T11" s="301"/>
      <c r="U11" s="302">
        <f t="shared" ref="U11:U75" si="1">Q11</f>
        <v>20000000</v>
      </c>
      <c r="V11" s="788" t="s">
        <v>1360</v>
      </c>
      <c r="W11" s="294">
        <v>20</v>
      </c>
      <c r="X11" s="300" t="s">
        <v>67</v>
      </c>
      <c r="Y11" s="785">
        <v>650</v>
      </c>
      <c r="Z11" s="785">
        <v>600</v>
      </c>
      <c r="AA11" s="785">
        <v>350</v>
      </c>
      <c r="AB11" s="785">
        <v>400</v>
      </c>
      <c r="AC11" s="785">
        <v>300</v>
      </c>
      <c r="AD11" s="785">
        <v>200</v>
      </c>
      <c r="AE11" s="304"/>
      <c r="AF11" s="304"/>
      <c r="AG11" s="304"/>
      <c r="AH11" s="304"/>
      <c r="AI11" s="304"/>
      <c r="AJ11" s="304"/>
      <c r="AK11" s="304"/>
      <c r="AL11" s="304"/>
      <c r="AM11" s="304"/>
      <c r="AN11" s="786">
        <f t="shared" si="0"/>
        <v>1250</v>
      </c>
      <c r="AO11" s="306">
        <v>46023</v>
      </c>
      <c r="AP11" s="306">
        <v>46387</v>
      </c>
      <c r="AQ11" s="307" t="s">
        <v>1361</v>
      </c>
    </row>
    <row r="12" spans="1:61" ht="129.75">
      <c r="A12" s="299">
        <v>1</v>
      </c>
      <c r="B12" s="781" t="s">
        <v>513</v>
      </c>
      <c r="C12" s="782">
        <v>41</v>
      </c>
      <c r="D12" s="782" t="s">
        <v>1354</v>
      </c>
      <c r="E12" s="299">
        <v>4102</v>
      </c>
      <c r="F12" s="781" t="s">
        <v>1355</v>
      </c>
      <c r="G12" s="299" t="s">
        <v>1363</v>
      </c>
      <c r="H12" s="781" t="s">
        <v>1364</v>
      </c>
      <c r="I12" s="299">
        <v>410204300</v>
      </c>
      <c r="J12" s="781" t="s">
        <v>1365</v>
      </c>
      <c r="K12" s="299">
        <v>200</v>
      </c>
      <c r="L12" s="299"/>
      <c r="M12" s="299">
        <f t="shared" ref="M12:M99" si="2">K12+L12</f>
        <v>200</v>
      </c>
      <c r="N12" s="783">
        <v>2024003630044</v>
      </c>
      <c r="O12" s="781" t="s">
        <v>1358</v>
      </c>
      <c r="P12" s="872" t="s">
        <v>1366</v>
      </c>
      <c r="Q12" s="290">
        <v>10000000</v>
      </c>
      <c r="R12" s="301">
        <f>3000000</f>
        <v>3000000</v>
      </c>
      <c r="S12" s="301"/>
      <c r="T12" s="301"/>
      <c r="U12" s="302">
        <f t="shared" si="1"/>
        <v>10000000</v>
      </c>
      <c r="V12" s="784" t="s">
        <v>1367</v>
      </c>
      <c r="W12" s="294">
        <v>20</v>
      </c>
      <c r="X12" s="300" t="s">
        <v>67</v>
      </c>
      <c r="Y12" s="785">
        <v>650</v>
      </c>
      <c r="Z12" s="785">
        <v>600</v>
      </c>
      <c r="AA12" s="785">
        <v>350</v>
      </c>
      <c r="AB12" s="785">
        <v>400</v>
      </c>
      <c r="AC12" s="785">
        <v>300</v>
      </c>
      <c r="AD12" s="785">
        <v>200</v>
      </c>
      <c r="AE12" s="304"/>
      <c r="AF12" s="304"/>
      <c r="AG12" s="304"/>
      <c r="AH12" s="304"/>
      <c r="AI12" s="304"/>
      <c r="AJ12" s="304"/>
      <c r="AK12" s="304"/>
      <c r="AL12" s="304"/>
      <c r="AM12" s="304"/>
      <c r="AN12" s="786">
        <f t="shared" si="0"/>
        <v>1250</v>
      </c>
      <c r="AO12" s="306">
        <v>46023</v>
      </c>
      <c r="AP12" s="306">
        <v>46387</v>
      </c>
      <c r="AQ12" s="307" t="s">
        <v>1361</v>
      </c>
    </row>
    <row r="13" spans="1:61" ht="129.75">
      <c r="A13" s="299">
        <v>1</v>
      </c>
      <c r="B13" s="781" t="s">
        <v>513</v>
      </c>
      <c r="C13" s="782">
        <v>41</v>
      </c>
      <c r="D13" s="782" t="s">
        <v>1354</v>
      </c>
      <c r="E13" s="299">
        <v>4102</v>
      </c>
      <c r="F13" s="781" t="s">
        <v>1355</v>
      </c>
      <c r="G13" s="299" t="s">
        <v>1363</v>
      </c>
      <c r="H13" s="781" t="s">
        <v>1364</v>
      </c>
      <c r="I13" s="299">
        <v>410204300</v>
      </c>
      <c r="J13" s="781" t="s">
        <v>1365</v>
      </c>
      <c r="K13" s="299">
        <v>200</v>
      </c>
      <c r="L13" s="299"/>
      <c r="M13" s="299">
        <f t="shared" si="2"/>
        <v>200</v>
      </c>
      <c r="N13" s="783">
        <v>2024003630044</v>
      </c>
      <c r="O13" s="781" t="s">
        <v>1358</v>
      </c>
      <c r="P13" s="872" t="s">
        <v>1368</v>
      </c>
      <c r="Q13" s="290">
        <v>70000000</v>
      </c>
      <c r="R13" s="301">
        <f>8000000+7400000+8000000+6000000+6000000</f>
        <v>35400000</v>
      </c>
      <c r="S13" s="301"/>
      <c r="T13" s="301"/>
      <c r="U13" s="302">
        <f t="shared" si="1"/>
        <v>70000000</v>
      </c>
      <c r="V13" s="784" t="s">
        <v>1367</v>
      </c>
      <c r="W13" s="294">
        <v>20</v>
      </c>
      <c r="X13" s="300" t="s">
        <v>67</v>
      </c>
      <c r="Y13" s="785">
        <v>650</v>
      </c>
      <c r="Z13" s="785">
        <v>600</v>
      </c>
      <c r="AA13" s="785">
        <v>350</v>
      </c>
      <c r="AB13" s="785">
        <v>400</v>
      </c>
      <c r="AC13" s="785">
        <v>300</v>
      </c>
      <c r="AD13" s="785">
        <v>200</v>
      </c>
      <c r="AE13" s="304"/>
      <c r="AF13" s="304"/>
      <c r="AG13" s="304"/>
      <c r="AH13" s="304"/>
      <c r="AI13" s="304"/>
      <c r="AJ13" s="304"/>
      <c r="AK13" s="304"/>
      <c r="AL13" s="304"/>
      <c r="AM13" s="304"/>
      <c r="AN13" s="786">
        <f t="shared" si="0"/>
        <v>1250</v>
      </c>
      <c r="AO13" s="306">
        <v>46023</v>
      </c>
      <c r="AP13" s="306">
        <v>46387</v>
      </c>
      <c r="AQ13" s="307" t="s">
        <v>1361</v>
      </c>
    </row>
    <row r="14" spans="1:61" ht="128.25">
      <c r="A14" s="299">
        <v>1</v>
      </c>
      <c r="B14" s="781" t="s">
        <v>513</v>
      </c>
      <c r="C14" s="782">
        <v>41</v>
      </c>
      <c r="D14" s="782" t="s">
        <v>1354</v>
      </c>
      <c r="E14" s="299">
        <v>4102</v>
      </c>
      <c r="F14" s="781" t="s">
        <v>1355</v>
      </c>
      <c r="G14" s="299" t="s">
        <v>1363</v>
      </c>
      <c r="H14" s="781" t="s">
        <v>1364</v>
      </c>
      <c r="I14" s="299">
        <v>410204300</v>
      </c>
      <c r="J14" s="781" t="s">
        <v>1365</v>
      </c>
      <c r="K14" s="299">
        <v>200</v>
      </c>
      <c r="L14" s="299"/>
      <c r="M14" s="299">
        <f>K14+L14</f>
        <v>200</v>
      </c>
      <c r="N14" s="783">
        <v>2024003630044</v>
      </c>
      <c r="O14" s="781" t="s">
        <v>1358</v>
      </c>
      <c r="P14" s="873" t="s">
        <v>1369</v>
      </c>
      <c r="Q14" s="290">
        <v>8000000</v>
      </c>
      <c r="R14" s="301"/>
      <c r="S14" s="301"/>
      <c r="T14" s="301"/>
      <c r="U14" s="302">
        <f t="shared" si="1"/>
        <v>8000000</v>
      </c>
      <c r="V14" s="790" t="s">
        <v>1370</v>
      </c>
      <c r="W14" s="294">
        <v>20</v>
      </c>
      <c r="X14" s="300" t="s">
        <v>67</v>
      </c>
      <c r="Y14" s="785">
        <v>650</v>
      </c>
      <c r="Z14" s="785">
        <v>600</v>
      </c>
      <c r="AA14" s="785">
        <v>350</v>
      </c>
      <c r="AB14" s="785">
        <v>400</v>
      </c>
      <c r="AC14" s="785">
        <v>300</v>
      </c>
      <c r="AD14" s="785">
        <v>200</v>
      </c>
      <c r="AE14" s="304"/>
      <c r="AF14" s="304"/>
      <c r="AG14" s="304"/>
      <c r="AH14" s="304"/>
      <c r="AI14" s="304"/>
      <c r="AJ14" s="304"/>
      <c r="AK14" s="304"/>
      <c r="AL14" s="304"/>
      <c r="AM14" s="304"/>
      <c r="AN14" s="786">
        <f t="shared" si="0"/>
        <v>1250</v>
      </c>
      <c r="AO14" s="306">
        <v>46023</v>
      </c>
      <c r="AP14" s="306">
        <v>46387</v>
      </c>
      <c r="AQ14" s="307" t="s">
        <v>1361</v>
      </c>
    </row>
    <row r="15" spans="1:61" ht="128.25">
      <c r="A15" s="299">
        <v>1</v>
      </c>
      <c r="B15" s="781" t="s">
        <v>513</v>
      </c>
      <c r="C15" s="782">
        <v>41</v>
      </c>
      <c r="D15" s="782" t="s">
        <v>1354</v>
      </c>
      <c r="E15" s="299">
        <v>4102</v>
      </c>
      <c r="F15" s="781" t="s">
        <v>1355</v>
      </c>
      <c r="G15" s="299" t="s">
        <v>1363</v>
      </c>
      <c r="H15" s="781" t="s">
        <v>1364</v>
      </c>
      <c r="I15" s="299">
        <v>410204300</v>
      </c>
      <c r="J15" s="781" t="s">
        <v>1365</v>
      </c>
      <c r="K15" s="299">
        <v>200</v>
      </c>
      <c r="L15" s="299"/>
      <c r="M15" s="299">
        <f t="shared" si="2"/>
        <v>200</v>
      </c>
      <c r="N15" s="783">
        <v>2024003630044</v>
      </c>
      <c r="O15" s="781" t="s">
        <v>1358</v>
      </c>
      <c r="P15" s="872" t="s">
        <v>1371</v>
      </c>
      <c r="Q15" s="290">
        <v>5000000</v>
      </c>
      <c r="R15" s="301"/>
      <c r="S15" s="301"/>
      <c r="T15" s="301"/>
      <c r="U15" s="302">
        <f t="shared" si="1"/>
        <v>5000000</v>
      </c>
      <c r="V15" s="784" t="s">
        <v>1370</v>
      </c>
      <c r="W15" s="294">
        <v>20</v>
      </c>
      <c r="X15" s="300" t="s">
        <v>67</v>
      </c>
      <c r="Y15" s="785">
        <v>650</v>
      </c>
      <c r="Z15" s="785">
        <v>600</v>
      </c>
      <c r="AA15" s="785">
        <v>350</v>
      </c>
      <c r="AB15" s="785">
        <v>400</v>
      </c>
      <c r="AC15" s="785">
        <v>300</v>
      </c>
      <c r="AD15" s="785">
        <v>200</v>
      </c>
      <c r="AE15" s="304"/>
      <c r="AF15" s="304"/>
      <c r="AG15" s="304"/>
      <c r="AH15" s="304"/>
      <c r="AI15" s="304"/>
      <c r="AJ15" s="304"/>
      <c r="AK15" s="304"/>
      <c r="AL15" s="304"/>
      <c r="AM15" s="304"/>
      <c r="AN15" s="786">
        <f t="shared" si="0"/>
        <v>1250</v>
      </c>
      <c r="AO15" s="306">
        <v>46023</v>
      </c>
      <c r="AP15" s="306">
        <v>46387</v>
      </c>
      <c r="AQ15" s="307" t="s">
        <v>1361</v>
      </c>
    </row>
    <row r="16" spans="1:61" ht="128.25">
      <c r="A16" s="299">
        <v>1</v>
      </c>
      <c r="B16" s="781" t="s">
        <v>513</v>
      </c>
      <c r="C16" s="782">
        <v>41</v>
      </c>
      <c r="D16" s="782" t="s">
        <v>1354</v>
      </c>
      <c r="E16" s="299">
        <v>4102</v>
      </c>
      <c r="F16" s="781" t="s">
        <v>1355</v>
      </c>
      <c r="G16" s="299" t="s">
        <v>1363</v>
      </c>
      <c r="H16" s="781" t="s">
        <v>1364</v>
      </c>
      <c r="I16" s="299">
        <v>410204300</v>
      </c>
      <c r="J16" s="781" t="s">
        <v>1365</v>
      </c>
      <c r="K16" s="299">
        <v>200</v>
      </c>
      <c r="L16" s="299"/>
      <c r="M16" s="299">
        <f t="shared" si="2"/>
        <v>200</v>
      </c>
      <c r="N16" s="783">
        <v>2024003630044</v>
      </c>
      <c r="O16" s="781" t="s">
        <v>1358</v>
      </c>
      <c r="P16" s="872" t="s">
        <v>1372</v>
      </c>
      <c r="Q16" s="290">
        <v>9404000</v>
      </c>
      <c r="R16" s="301"/>
      <c r="S16" s="301"/>
      <c r="T16" s="301"/>
      <c r="U16" s="302">
        <f t="shared" si="1"/>
        <v>9404000</v>
      </c>
      <c r="V16" s="784" t="s">
        <v>1373</v>
      </c>
      <c r="W16" s="294">
        <v>20</v>
      </c>
      <c r="X16" s="300" t="s">
        <v>67</v>
      </c>
      <c r="Y16" s="785">
        <v>650</v>
      </c>
      <c r="Z16" s="785">
        <v>600</v>
      </c>
      <c r="AA16" s="785">
        <v>350</v>
      </c>
      <c r="AB16" s="785">
        <v>400</v>
      </c>
      <c r="AC16" s="785">
        <v>300</v>
      </c>
      <c r="AD16" s="785">
        <v>200</v>
      </c>
      <c r="AE16" s="304"/>
      <c r="AF16" s="304"/>
      <c r="AG16" s="304"/>
      <c r="AH16" s="304"/>
      <c r="AI16" s="304"/>
      <c r="AJ16" s="304"/>
      <c r="AK16" s="304"/>
      <c r="AL16" s="304"/>
      <c r="AM16" s="304"/>
      <c r="AN16" s="786">
        <f t="shared" si="0"/>
        <v>1250</v>
      </c>
      <c r="AO16" s="306">
        <v>46023</v>
      </c>
      <c r="AP16" s="306">
        <v>46387</v>
      </c>
      <c r="AQ16" s="307" t="s">
        <v>1361</v>
      </c>
    </row>
    <row r="17" spans="1:44" ht="128.25">
      <c r="A17" s="299">
        <v>1</v>
      </c>
      <c r="B17" s="781" t="s">
        <v>513</v>
      </c>
      <c r="C17" s="782">
        <v>41</v>
      </c>
      <c r="D17" s="782" t="s">
        <v>1354</v>
      </c>
      <c r="E17" s="299">
        <v>4102</v>
      </c>
      <c r="F17" s="781" t="s">
        <v>1355</v>
      </c>
      <c r="G17" s="299" t="s">
        <v>1363</v>
      </c>
      <c r="H17" s="781" t="s">
        <v>1364</v>
      </c>
      <c r="I17" s="299">
        <v>410204300</v>
      </c>
      <c r="J17" s="781" t="s">
        <v>1365</v>
      </c>
      <c r="K17" s="299">
        <v>200</v>
      </c>
      <c r="L17" s="299"/>
      <c r="M17" s="299">
        <f t="shared" si="2"/>
        <v>200</v>
      </c>
      <c r="N17" s="783">
        <v>2024003630044</v>
      </c>
      <c r="O17" s="781" t="s">
        <v>1358</v>
      </c>
      <c r="P17" s="873" t="s">
        <v>1374</v>
      </c>
      <c r="Q17" s="290">
        <v>4000000</v>
      </c>
      <c r="R17" s="301"/>
      <c r="S17" s="301"/>
      <c r="T17" s="301"/>
      <c r="U17" s="302">
        <f t="shared" si="1"/>
        <v>4000000</v>
      </c>
      <c r="V17" s="790" t="s">
        <v>1373</v>
      </c>
      <c r="W17" s="294">
        <v>20</v>
      </c>
      <c r="X17" s="300" t="s">
        <v>67</v>
      </c>
      <c r="Y17" s="785">
        <v>650</v>
      </c>
      <c r="Z17" s="785">
        <v>600</v>
      </c>
      <c r="AA17" s="785">
        <v>350</v>
      </c>
      <c r="AB17" s="785">
        <v>400</v>
      </c>
      <c r="AC17" s="785">
        <v>300</v>
      </c>
      <c r="AD17" s="785">
        <v>200</v>
      </c>
      <c r="AE17" s="304"/>
      <c r="AF17" s="304"/>
      <c r="AG17" s="304"/>
      <c r="AH17" s="304"/>
      <c r="AI17" s="304"/>
      <c r="AJ17" s="304"/>
      <c r="AK17" s="304"/>
      <c r="AL17" s="304"/>
      <c r="AM17" s="304"/>
      <c r="AN17" s="786">
        <f t="shared" si="0"/>
        <v>1250</v>
      </c>
      <c r="AO17" s="306">
        <v>46023</v>
      </c>
      <c r="AP17" s="306">
        <v>46387</v>
      </c>
      <c r="AQ17" s="307" t="s">
        <v>1361</v>
      </c>
    </row>
    <row r="18" spans="1:44" ht="128.25">
      <c r="A18" s="299">
        <v>1</v>
      </c>
      <c r="B18" s="781" t="s">
        <v>513</v>
      </c>
      <c r="C18" s="782">
        <v>41</v>
      </c>
      <c r="D18" s="782" t="s">
        <v>1354</v>
      </c>
      <c r="E18" s="299">
        <v>4102</v>
      </c>
      <c r="F18" s="781" t="s">
        <v>1355</v>
      </c>
      <c r="G18" s="299" t="s">
        <v>1363</v>
      </c>
      <c r="H18" s="781" t="s">
        <v>1364</v>
      </c>
      <c r="I18" s="299">
        <v>410204300</v>
      </c>
      <c r="J18" s="781" t="s">
        <v>1365</v>
      </c>
      <c r="K18" s="299">
        <v>200</v>
      </c>
      <c r="L18" s="299"/>
      <c r="M18" s="299">
        <f t="shared" si="2"/>
        <v>200</v>
      </c>
      <c r="N18" s="783">
        <v>2024003630044</v>
      </c>
      <c r="O18" s="781" t="s">
        <v>1358</v>
      </c>
      <c r="P18" s="873" t="s">
        <v>1375</v>
      </c>
      <c r="Q18" s="290">
        <v>5000000</v>
      </c>
      <c r="R18" s="301"/>
      <c r="S18" s="301"/>
      <c r="T18" s="301"/>
      <c r="U18" s="302">
        <f t="shared" si="1"/>
        <v>5000000</v>
      </c>
      <c r="V18" s="784" t="s">
        <v>1376</v>
      </c>
      <c r="W18" s="294">
        <v>20</v>
      </c>
      <c r="X18" s="300" t="s">
        <v>67</v>
      </c>
      <c r="Y18" s="785">
        <v>650</v>
      </c>
      <c r="Z18" s="785">
        <v>600</v>
      </c>
      <c r="AA18" s="785">
        <v>350</v>
      </c>
      <c r="AB18" s="785">
        <v>400</v>
      </c>
      <c r="AC18" s="785">
        <v>300</v>
      </c>
      <c r="AD18" s="785">
        <v>200</v>
      </c>
      <c r="AE18" s="304"/>
      <c r="AF18" s="304"/>
      <c r="AG18" s="304"/>
      <c r="AH18" s="304"/>
      <c r="AI18" s="304"/>
      <c r="AJ18" s="304"/>
      <c r="AK18" s="304"/>
      <c r="AL18" s="304"/>
      <c r="AM18" s="304"/>
      <c r="AN18" s="786">
        <f t="shared" si="0"/>
        <v>1250</v>
      </c>
      <c r="AO18" s="306">
        <v>46023</v>
      </c>
      <c r="AP18" s="306">
        <v>46387</v>
      </c>
      <c r="AQ18" s="307" t="s">
        <v>1361</v>
      </c>
    </row>
    <row r="19" spans="1:44" ht="128.25" hidden="1">
      <c r="A19" s="294">
        <v>1</v>
      </c>
      <c r="B19" s="295" t="s">
        <v>513</v>
      </c>
      <c r="C19" s="294">
        <v>41</v>
      </c>
      <c r="D19" s="296" t="s">
        <v>1354</v>
      </c>
      <c r="E19" s="297">
        <v>4102</v>
      </c>
      <c r="F19" s="298" t="s">
        <v>1355</v>
      </c>
      <c r="G19" s="294" t="s">
        <v>1377</v>
      </c>
      <c r="H19" s="298" t="s">
        <v>1378</v>
      </c>
      <c r="I19" s="791">
        <v>410203800</v>
      </c>
      <c r="J19" s="792" t="s">
        <v>1379</v>
      </c>
      <c r="K19" s="299">
        <v>100</v>
      </c>
      <c r="L19" s="299"/>
      <c r="M19" s="299">
        <f t="shared" si="2"/>
        <v>100</v>
      </c>
      <c r="N19" s="294">
        <v>2024003630045</v>
      </c>
      <c r="O19" s="298" t="s">
        <v>1380</v>
      </c>
      <c r="P19" s="874" t="s">
        <v>1381</v>
      </c>
      <c r="Q19" s="290">
        <v>35000000</v>
      </c>
      <c r="R19" s="301"/>
      <c r="S19" s="301"/>
      <c r="T19" s="301"/>
      <c r="U19" s="302">
        <f t="shared" si="1"/>
        <v>35000000</v>
      </c>
      <c r="V19" s="784" t="s">
        <v>1382</v>
      </c>
      <c r="W19" s="294">
        <v>20</v>
      </c>
      <c r="X19" s="300" t="s">
        <v>67</v>
      </c>
      <c r="Y19" s="304">
        <v>20</v>
      </c>
      <c r="Z19" s="305" t="s">
        <v>1383</v>
      </c>
      <c r="AA19" s="304"/>
      <c r="AB19" s="304">
        <v>85</v>
      </c>
      <c r="AC19" s="304">
        <v>15</v>
      </c>
      <c r="AD19" s="304"/>
      <c r="AE19" s="304"/>
      <c r="AF19" s="304">
        <v>5</v>
      </c>
      <c r="AG19" s="304"/>
      <c r="AH19" s="304"/>
      <c r="AI19" s="304"/>
      <c r="AJ19" s="304"/>
      <c r="AK19" s="304"/>
      <c r="AL19" s="304"/>
      <c r="AM19" s="304"/>
      <c r="AN19" s="305">
        <f t="shared" si="0"/>
        <v>100</v>
      </c>
      <c r="AO19" s="306">
        <v>46023</v>
      </c>
      <c r="AP19" s="306">
        <v>46387</v>
      </c>
      <c r="AQ19" s="307" t="s">
        <v>1361</v>
      </c>
      <c r="AR19" s="793"/>
    </row>
    <row r="20" spans="1:44" ht="128.25" hidden="1">
      <c r="A20" s="294">
        <v>1</v>
      </c>
      <c r="B20" s="295" t="s">
        <v>513</v>
      </c>
      <c r="C20" s="294">
        <v>41</v>
      </c>
      <c r="D20" s="296" t="s">
        <v>1354</v>
      </c>
      <c r="E20" s="297">
        <v>4102</v>
      </c>
      <c r="F20" s="298" t="s">
        <v>1355</v>
      </c>
      <c r="G20" s="294" t="s">
        <v>1377</v>
      </c>
      <c r="H20" s="298" t="s">
        <v>1378</v>
      </c>
      <c r="I20" s="791">
        <v>410203800</v>
      </c>
      <c r="J20" s="792" t="s">
        <v>1379</v>
      </c>
      <c r="K20" s="299">
        <v>100</v>
      </c>
      <c r="L20" s="299"/>
      <c r="M20" s="299">
        <f t="shared" si="2"/>
        <v>100</v>
      </c>
      <c r="N20" s="294">
        <v>2024003630045</v>
      </c>
      <c r="O20" s="298" t="s">
        <v>1380</v>
      </c>
      <c r="P20" s="874" t="s">
        <v>1384</v>
      </c>
      <c r="Q20" s="290">
        <v>30000000</v>
      </c>
      <c r="R20" s="301">
        <f>4000000</f>
        <v>4000000</v>
      </c>
      <c r="S20" s="301"/>
      <c r="T20" s="301"/>
      <c r="U20" s="302">
        <f t="shared" si="1"/>
        <v>30000000</v>
      </c>
      <c r="V20" s="784" t="s">
        <v>1382</v>
      </c>
      <c r="W20" s="294">
        <v>20</v>
      </c>
      <c r="X20" s="300" t="s">
        <v>67</v>
      </c>
      <c r="Y20" s="304">
        <v>20</v>
      </c>
      <c r="Z20" s="305" t="s">
        <v>1383</v>
      </c>
      <c r="AA20" s="304"/>
      <c r="AB20" s="304">
        <v>85</v>
      </c>
      <c r="AC20" s="304">
        <v>15</v>
      </c>
      <c r="AD20" s="304"/>
      <c r="AE20" s="304"/>
      <c r="AF20" s="304">
        <v>5</v>
      </c>
      <c r="AG20" s="304"/>
      <c r="AH20" s="304"/>
      <c r="AI20" s="304"/>
      <c r="AJ20" s="304"/>
      <c r="AK20" s="304"/>
      <c r="AL20" s="304"/>
      <c r="AM20" s="304"/>
      <c r="AN20" s="304">
        <v>100</v>
      </c>
      <c r="AO20" s="306">
        <v>46023</v>
      </c>
      <c r="AP20" s="306">
        <v>46387</v>
      </c>
      <c r="AQ20" s="307" t="s">
        <v>1361</v>
      </c>
      <c r="AR20" s="794"/>
    </row>
    <row r="21" spans="1:44" ht="128.25" hidden="1">
      <c r="A21" s="294">
        <v>1</v>
      </c>
      <c r="B21" s="295" t="s">
        <v>513</v>
      </c>
      <c r="C21" s="294">
        <v>41</v>
      </c>
      <c r="D21" s="296" t="s">
        <v>1354</v>
      </c>
      <c r="E21" s="297">
        <v>4102</v>
      </c>
      <c r="F21" s="298" t="s">
        <v>1355</v>
      </c>
      <c r="G21" s="294" t="s">
        <v>1377</v>
      </c>
      <c r="H21" s="298" t="s">
        <v>1378</v>
      </c>
      <c r="I21" s="791">
        <v>410203800</v>
      </c>
      <c r="J21" s="792" t="s">
        <v>1379</v>
      </c>
      <c r="K21" s="299">
        <v>100</v>
      </c>
      <c r="L21" s="299"/>
      <c r="M21" s="299">
        <f t="shared" si="2"/>
        <v>100</v>
      </c>
      <c r="N21" s="294">
        <v>2024003630045</v>
      </c>
      <c r="O21" s="298" t="s">
        <v>1380</v>
      </c>
      <c r="P21" s="874" t="s">
        <v>1385</v>
      </c>
      <c r="Q21" s="290">
        <v>10000000</v>
      </c>
      <c r="R21" s="301"/>
      <c r="S21" s="301"/>
      <c r="T21" s="301"/>
      <c r="U21" s="302">
        <f t="shared" si="1"/>
        <v>10000000</v>
      </c>
      <c r="V21" s="784" t="s">
        <v>1382</v>
      </c>
      <c r="W21" s="294">
        <v>20</v>
      </c>
      <c r="X21" s="300" t="s">
        <v>67</v>
      </c>
      <c r="Y21" s="304">
        <v>20</v>
      </c>
      <c r="Z21" s="305" t="s">
        <v>1383</v>
      </c>
      <c r="AA21" s="304"/>
      <c r="AB21" s="304">
        <v>85</v>
      </c>
      <c r="AC21" s="304">
        <v>15</v>
      </c>
      <c r="AD21" s="304"/>
      <c r="AE21" s="304"/>
      <c r="AF21" s="304">
        <v>5</v>
      </c>
      <c r="AG21" s="304"/>
      <c r="AH21" s="304"/>
      <c r="AI21" s="304"/>
      <c r="AJ21" s="304"/>
      <c r="AK21" s="304"/>
      <c r="AL21" s="304"/>
      <c r="AM21" s="304"/>
      <c r="AN21" s="304">
        <v>100</v>
      </c>
      <c r="AO21" s="306">
        <v>46023</v>
      </c>
      <c r="AP21" s="306">
        <v>46387</v>
      </c>
      <c r="AQ21" s="307" t="s">
        <v>1361</v>
      </c>
      <c r="AR21" s="795"/>
    </row>
    <row r="22" spans="1:44" ht="128.25" hidden="1">
      <c r="A22" s="294">
        <v>1</v>
      </c>
      <c r="B22" s="295" t="s">
        <v>513</v>
      </c>
      <c r="C22" s="294">
        <v>41</v>
      </c>
      <c r="D22" s="296" t="s">
        <v>1354</v>
      </c>
      <c r="E22" s="297">
        <v>4102</v>
      </c>
      <c r="F22" s="298" t="s">
        <v>1355</v>
      </c>
      <c r="G22" s="294" t="s">
        <v>1386</v>
      </c>
      <c r="H22" s="298" t="s">
        <v>1387</v>
      </c>
      <c r="I22" s="791">
        <v>410202800</v>
      </c>
      <c r="J22" s="298" t="s">
        <v>1387</v>
      </c>
      <c r="K22" s="299">
        <v>1</v>
      </c>
      <c r="L22" s="299"/>
      <c r="M22" s="299">
        <f t="shared" si="2"/>
        <v>1</v>
      </c>
      <c r="N22" s="294">
        <v>2024003630045</v>
      </c>
      <c r="O22" s="298" t="s">
        <v>1380</v>
      </c>
      <c r="P22" s="874" t="s">
        <v>1388</v>
      </c>
      <c r="Q22" s="290">
        <v>25000000</v>
      </c>
      <c r="R22" s="301"/>
      <c r="S22" s="301"/>
      <c r="T22" s="301"/>
      <c r="U22" s="302">
        <f t="shared" si="1"/>
        <v>25000000</v>
      </c>
      <c r="V22" s="784" t="s">
        <v>1389</v>
      </c>
      <c r="W22" s="294">
        <v>20</v>
      </c>
      <c r="X22" s="300" t="s">
        <v>67</v>
      </c>
      <c r="Y22" s="304">
        <v>20</v>
      </c>
      <c r="Z22" s="305" t="s">
        <v>1383</v>
      </c>
      <c r="AA22" s="304"/>
      <c r="AB22" s="304">
        <v>85</v>
      </c>
      <c r="AC22" s="304">
        <v>15</v>
      </c>
      <c r="AD22" s="304"/>
      <c r="AE22" s="304"/>
      <c r="AF22" s="304">
        <v>5</v>
      </c>
      <c r="AG22" s="304"/>
      <c r="AH22" s="304"/>
      <c r="AI22" s="304"/>
      <c r="AJ22" s="304"/>
      <c r="AK22" s="304"/>
      <c r="AL22" s="304"/>
      <c r="AM22" s="304"/>
      <c r="AN22" s="304">
        <v>100</v>
      </c>
      <c r="AO22" s="306">
        <v>46023</v>
      </c>
      <c r="AP22" s="306">
        <v>46387</v>
      </c>
      <c r="AQ22" s="307" t="s">
        <v>1361</v>
      </c>
      <c r="AR22" s="795"/>
    </row>
    <row r="23" spans="1:44" ht="85.5" hidden="1">
      <c r="A23" s="294">
        <v>1</v>
      </c>
      <c r="B23" s="295" t="s">
        <v>513</v>
      </c>
      <c r="C23" s="294">
        <v>41</v>
      </c>
      <c r="D23" s="296" t="s">
        <v>1354</v>
      </c>
      <c r="E23" s="297">
        <v>4104</v>
      </c>
      <c r="F23" s="298" t="s">
        <v>1390</v>
      </c>
      <c r="G23" s="292">
        <v>4104020</v>
      </c>
      <c r="H23" s="298" t="s">
        <v>1391</v>
      </c>
      <c r="I23" s="292">
        <v>410402000</v>
      </c>
      <c r="J23" s="796" t="s">
        <v>1392</v>
      </c>
      <c r="K23" s="299">
        <v>1000</v>
      </c>
      <c r="L23" s="299"/>
      <c r="M23" s="299">
        <f t="shared" si="2"/>
        <v>1000</v>
      </c>
      <c r="N23" s="294">
        <v>2024003630048</v>
      </c>
      <c r="O23" s="298" t="s">
        <v>1393</v>
      </c>
      <c r="P23" s="875" t="s">
        <v>1394</v>
      </c>
      <c r="Q23" s="293">
        <v>180000000</v>
      </c>
      <c r="R23" s="301">
        <v>7400000</v>
      </c>
      <c r="S23" s="301"/>
      <c r="T23" s="301"/>
      <c r="U23" s="302">
        <f t="shared" si="1"/>
        <v>180000000</v>
      </c>
      <c r="V23" s="797" t="s">
        <v>1395</v>
      </c>
      <c r="W23" s="294">
        <v>20</v>
      </c>
      <c r="X23" s="300" t="s">
        <v>67</v>
      </c>
      <c r="Y23" s="304"/>
      <c r="Z23" s="305"/>
      <c r="AA23" s="304"/>
      <c r="AB23" s="304"/>
      <c r="AC23" s="304"/>
      <c r="AD23" s="304"/>
      <c r="AE23" s="304"/>
      <c r="AF23" s="304"/>
      <c r="AG23" s="304"/>
      <c r="AH23" s="304"/>
      <c r="AI23" s="304"/>
      <c r="AJ23" s="304"/>
      <c r="AK23" s="304"/>
      <c r="AL23" s="786">
        <v>3500</v>
      </c>
      <c r="AM23" s="304"/>
      <c r="AN23" s="305" t="s">
        <v>1396</v>
      </c>
      <c r="AO23" s="306">
        <v>46023</v>
      </c>
      <c r="AP23" s="306">
        <v>46387</v>
      </c>
      <c r="AQ23" s="307" t="s">
        <v>1361</v>
      </c>
    </row>
    <row r="24" spans="1:44" ht="86.25" hidden="1">
      <c r="A24" s="294">
        <v>1</v>
      </c>
      <c r="B24" s="295" t="s">
        <v>513</v>
      </c>
      <c r="C24" s="294">
        <v>41</v>
      </c>
      <c r="D24" s="296" t="s">
        <v>1354</v>
      </c>
      <c r="E24" s="297">
        <v>4104</v>
      </c>
      <c r="F24" s="298" t="s">
        <v>1390</v>
      </c>
      <c r="G24" s="292">
        <v>4104020</v>
      </c>
      <c r="H24" s="298" t="s">
        <v>1391</v>
      </c>
      <c r="I24" s="292">
        <v>410402000</v>
      </c>
      <c r="J24" s="796" t="s">
        <v>1392</v>
      </c>
      <c r="K24" s="299">
        <v>1000</v>
      </c>
      <c r="L24" s="299"/>
      <c r="M24" s="299">
        <f t="shared" si="2"/>
        <v>1000</v>
      </c>
      <c r="N24" s="294">
        <v>2024003630048</v>
      </c>
      <c r="O24" s="298" t="s">
        <v>1393</v>
      </c>
      <c r="P24" s="875" t="s">
        <v>1397</v>
      </c>
      <c r="Q24" s="302">
        <v>100000000</v>
      </c>
      <c r="R24" s="301">
        <f>5000000+2500000+2500000+5000000</f>
        <v>15000000</v>
      </c>
      <c r="S24" s="301"/>
      <c r="T24" s="301"/>
      <c r="U24" s="302">
        <f t="shared" si="1"/>
        <v>100000000</v>
      </c>
      <c r="V24" s="797" t="s">
        <v>1395</v>
      </c>
      <c r="W24" s="294">
        <v>20</v>
      </c>
      <c r="X24" s="300" t="s">
        <v>67</v>
      </c>
      <c r="Y24" s="304"/>
      <c r="Z24" s="305"/>
      <c r="AA24" s="304"/>
      <c r="AB24" s="304"/>
      <c r="AC24" s="304"/>
      <c r="AD24" s="304"/>
      <c r="AE24" s="304"/>
      <c r="AF24" s="304"/>
      <c r="AG24" s="304"/>
      <c r="AH24" s="304"/>
      <c r="AI24" s="304"/>
      <c r="AJ24" s="304"/>
      <c r="AK24" s="304"/>
      <c r="AL24" s="786">
        <v>3500</v>
      </c>
      <c r="AM24" s="304"/>
      <c r="AN24" s="305" t="s">
        <v>1396</v>
      </c>
      <c r="AO24" s="306">
        <v>46023</v>
      </c>
      <c r="AP24" s="306">
        <v>46387</v>
      </c>
      <c r="AQ24" s="307" t="s">
        <v>1361</v>
      </c>
    </row>
    <row r="25" spans="1:44" ht="85.5" hidden="1">
      <c r="A25" s="294">
        <v>1</v>
      </c>
      <c r="B25" s="295" t="s">
        <v>513</v>
      </c>
      <c r="C25" s="294">
        <v>41</v>
      </c>
      <c r="D25" s="296" t="s">
        <v>1354</v>
      </c>
      <c r="E25" s="297">
        <v>4104</v>
      </c>
      <c r="F25" s="298" t="s">
        <v>1390</v>
      </c>
      <c r="G25" s="292">
        <v>4104020</v>
      </c>
      <c r="H25" s="298" t="s">
        <v>1391</v>
      </c>
      <c r="I25" s="292">
        <v>410402000</v>
      </c>
      <c r="J25" s="796" t="s">
        <v>1392</v>
      </c>
      <c r="K25" s="299">
        <v>1000</v>
      </c>
      <c r="L25" s="299"/>
      <c r="M25" s="299">
        <f t="shared" si="2"/>
        <v>1000</v>
      </c>
      <c r="N25" s="294">
        <v>2024003630048</v>
      </c>
      <c r="O25" s="298" t="s">
        <v>1393</v>
      </c>
      <c r="P25" s="875" t="s">
        <v>1398</v>
      </c>
      <c r="Q25" s="302">
        <v>79000000</v>
      </c>
      <c r="R25" s="301">
        <v>7400000</v>
      </c>
      <c r="S25" s="301"/>
      <c r="T25" s="301"/>
      <c r="U25" s="302">
        <f t="shared" si="1"/>
        <v>79000000</v>
      </c>
      <c r="V25" s="797" t="s">
        <v>1395</v>
      </c>
      <c r="W25" s="294">
        <v>20</v>
      </c>
      <c r="X25" s="300" t="s">
        <v>67</v>
      </c>
      <c r="Y25" s="304"/>
      <c r="Z25" s="305"/>
      <c r="AA25" s="304"/>
      <c r="AB25" s="304"/>
      <c r="AC25" s="304"/>
      <c r="AD25" s="304"/>
      <c r="AE25" s="304"/>
      <c r="AF25" s="304"/>
      <c r="AG25" s="304"/>
      <c r="AH25" s="304"/>
      <c r="AI25" s="304"/>
      <c r="AJ25" s="304"/>
      <c r="AK25" s="304"/>
      <c r="AL25" s="786">
        <v>3500</v>
      </c>
      <c r="AM25" s="304"/>
      <c r="AN25" s="305" t="s">
        <v>1396</v>
      </c>
      <c r="AO25" s="306">
        <v>46023</v>
      </c>
      <c r="AP25" s="306">
        <v>46387</v>
      </c>
      <c r="AQ25" s="307" t="s">
        <v>1361</v>
      </c>
    </row>
    <row r="26" spans="1:44" ht="85.5" hidden="1">
      <c r="A26" s="294">
        <v>1</v>
      </c>
      <c r="B26" s="295" t="s">
        <v>513</v>
      </c>
      <c r="C26" s="294">
        <v>41</v>
      </c>
      <c r="D26" s="296" t="s">
        <v>1354</v>
      </c>
      <c r="E26" s="297">
        <v>4104</v>
      </c>
      <c r="F26" s="298" t="s">
        <v>1390</v>
      </c>
      <c r="G26" s="292">
        <v>4104020</v>
      </c>
      <c r="H26" s="298" t="s">
        <v>1391</v>
      </c>
      <c r="I26" s="292">
        <v>410402000</v>
      </c>
      <c r="J26" s="796" t="s">
        <v>1392</v>
      </c>
      <c r="K26" s="299">
        <v>1000</v>
      </c>
      <c r="L26" s="299"/>
      <c r="M26" s="299">
        <f t="shared" si="2"/>
        <v>1000</v>
      </c>
      <c r="N26" s="294">
        <v>2024003630048</v>
      </c>
      <c r="O26" s="298" t="s">
        <v>1393</v>
      </c>
      <c r="P26" s="875" t="s">
        <v>1399</v>
      </c>
      <c r="Q26" s="293">
        <v>40000000</v>
      </c>
      <c r="R26" s="301"/>
      <c r="S26" s="301"/>
      <c r="T26" s="301"/>
      <c r="U26" s="302">
        <f t="shared" si="1"/>
        <v>40000000</v>
      </c>
      <c r="V26" s="797" t="s">
        <v>1395</v>
      </c>
      <c r="W26" s="294">
        <v>20</v>
      </c>
      <c r="X26" s="300" t="s">
        <v>67</v>
      </c>
      <c r="Y26" s="304"/>
      <c r="Z26" s="305"/>
      <c r="AA26" s="304"/>
      <c r="AB26" s="304"/>
      <c r="AC26" s="304"/>
      <c r="AD26" s="304"/>
      <c r="AE26" s="304"/>
      <c r="AF26" s="304"/>
      <c r="AG26" s="304"/>
      <c r="AH26" s="304"/>
      <c r="AI26" s="304"/>
      <c r="AJ26" s="304"/>
      <c r="AK26" s="304"/>
      <c r="AL26" s="786">
        <v>3500</v>
      </c>
      <c r="AM26" s="304"/>
      <c r="AN26" s="305" t="s">
        <v>1396</v>
      </c>
      <c r="AO26" s="306">
        <v>46023</v>
      </c>
      <c r="AP26" s="306">
        <v>46387</v>
      </c>
      <c r="AQ26" s="307" t="s">
        <v>1361</v>
      </c>
    </row>
    <row r="27" spans="1:44" ht="85.5" hidden="1">
      <c r="A27" s="294">
        <v>1</v>
      </c>
      <c r="B27" s="295" t="s">
        <v>513</v>
      </c>
      <c r="C27" s="294">
        <v>41</v>
      </c>
      <c r="D27" s="296" t="s">
        <v>1354</v>
      </c>
      <c r="E27" s="297">
        <v>4104</v>
      </c>
      <c r="F27" s="298" t="s">
        <v>1390</v>
      </c>
      <c r="G27" s="292">
        <v>4104020</v>
      </c>
      <c r="H27" s="298" t="s">
        <v>1391</v>
      </c>
      <c r="I27" s="292">
        <v>410402000</v>
      </c>
      <c r="J27" s="796" t="s">
        <v>1392</v>
      </c>
      <c r="K27" s="299">
        <v>1000</v>
      </c>
      <c r="L27" s="299"/>
      <c r="M27" s="299">
        <f t="shared" si="2"/>
        <v>1000</v>
      </c>
      <c r="N27" s="294">
        <v>2024003630048</v>
      </c>
      <c r="O27" s="298" t="s">
        <v>1393</v>
      </c>
      <c r="P27" s="875" t="s">
        <v>1400</v>
      </c>
      <c r="Q27" s="293">
        <v>20000000</v>
      </c>
      <c r="R27" s="301"/>
      <c r="S27" s="301"/>
      <c r="T27" s="301"/>
      <c r="U27" s="302">
        <f t="shared" si="1"/>
        <v>20000000</v>
      </c>
      <c r="V27" s="797" t="s">
        <v>1395</v>
      </c>
      <c r="W27" s="294">
        <v>20</v>
      </c>
      <c r="X27" s="300" t="s">
        <v>67</v>
      </c>
      <c r="Y27" s="304"/>
      <c r="Z27" s="305"/>
      <c r="AA27" s="304"/>
      <c r="AB27" s="304"/>
      <c r="AC27" s="304"/>
      <c r="AD27" s="304"/>
      <c r="AE27" s="304"/>
      <c r="AF27" s="304"/>
      <c r="AG27" s="304"/>
      <c r="AH27" s="304"/>
      <c r="AI27" s="304"/>
      <c r="AJ27" s="304"/>
      <c r="AK27" s="304"/>
      <c r="AL27" s="786">
        <v>3500</v>
      </c>
      <c r="AM27" s="304"/>
      <c r="AN27" s="305" t="s">
        <v>1396</v>
      </c>
      <c r="AO27" s="306">
        <v>46023</v>
      </c>
      <c r="AP27" s="306">
        <v>46387</v>
      </c>
      <c r="AQ27" s="307" t="s">
        <v>1361</v>
      </c>
    </row>
    <row r="28" spans="1:44" ht="85.5" hidden="1">
      <c r="A28" s="294">
        <v>1</v>
      </c>
      <c r="B28" s="295" t="s">
        <v>513</v>
      </c>
      <c r="C28" s="294">
        <v>41</v>
      </c>
      <c r="D28" s="296" t="s">
        <v>1354</v>
      </c>
      <c r="E28" s="297">
        <v>4104</v>
      </c>
      <c r="F28" s="298" t="s">
        <v>1390</v>
      </c>
      <c r="G28" s="292">
        <v>4104020</v>
      </c>
      <c r="H28" s="298" t="s">
        <v>1391</v>
      </c>
      <c r="I28" s="292">
        <v>410402000</v>
      </c>
      <c r="J28" s="796" t="s">
        <v>1392</v>
      </c>
      <c r="K28" s="299">
        <v>1000</v>
      </c>
      <c r="L28" s="299"/>
      <c r="M28" s="299">
        <f t="shared" si="2"/>
        <v>1000</v>
      </c>
      <c r="N28" s="294">
        <v>2024003630048</v>
      </c>
      <c r="O28" s="298" t="s">
        <v>1393</v>
      </c>
      <c r="P28" s="872" t="s">
        <v>1401</v>
      </c>
      <c r="Q28" s="293">
        <v>3000000</v>
      </c>
      <c r="R28" s="301"/>
      <c r="S28" s="301"/>
      <c r="T28" s="301"/>
      <c r="U28" s="302">
        <f t="shared" si="1"/>
        <v>3000000</v>
      </c>
      <c r="V28" s="797" t="s">
        <v>1402</v>
      </c>
      <c r="W28" s="294">
        <v>20</v>
      </c>
      <c r="X28" s="300" t="s">
        <v>67</v>
      </c>
      <c r="Y28" s="304"/>
      <c r="Z28" s="305"/>
      <c r="AA28" s="304"/>
      <c r="AB28" s="304"/>
      <c r="AC28" s="304"/>
      <c r="AD28" s="304"/>
      <c r="AE28" s="304"/>
      <c r="AF28" s="304"/>
      <c r="AG28" s="304"/>
      <c r="AH28" s="304"/>
      <c r="AI28" s="304"/>
      <c r="AJ28" s="304"/>
      <c r="AK28" s="304"/>
      <c r="AL28" s="786">
        <v>3500</v>
      </c>
      <c r="AM28" s="304"/>
      <c r="AN28" s="305" t="s">
        <v>1396</v>
      </c>
      <c r="AO28" s="306">
        <v>46023</v>
      </c>
      <c r="AP28" s="306">
        <v>46387</v>
      </c>
      <c r="AQ28" s="307" t="s">
        <v>1361</v>
      </c>
    </row>
    <row r="29" spans="1:44" ht="85.5" hidden="1">
      <c r="A29" s="294">
        <v>1</v>
      </c>
      <c r="B29" s="295" t="s">
        <v>513</v>
      </c>
      <c r="C29" s="294">
        <v>41</v>
      </c>
      <c r="D29" s="296" t="s">
        <v>1354</v>
      </c>
      <c r="E29" s="297">
        <v>4104</v>
      </c>
      <c r="F29" s="298" t="s">
        <v>1390</v>
      </c>
      <c r="G29" s="292">
        <v>4104020</v>
      </c>
      <c r="H29" s="298" t="s">
        <v>1391</v>
      </c>
      <c r="I29" s="292">
        <v>410402000</v>
      </c>
      <c r="J29" s="796" t="s">
        <v>1392</v>
      </c>
      <c r="K29" s="299">
        <v>1000</v>
      </c>
      <c r="L29" s="299"/>
      <c r="M29" s="299">
        <f t="shared" si="2"/>
        <v>1000</v>
      </c>
      <c r="N29" s="294">
        <v>2024003630048</v>
      </c>
      <c r="O29" s="298" t="s">
        <v>1393</v>
      </c>
      <c r="P29" s="876" t="s">
        <v>1403</v>
      </c>
      <c r="Q29" s="293">
        <v>8000000</v>
      </c>
      <c r="R29" s="301"/>
      <c r="S29" s="301"/>
      <c r="T29" s="301"/>
      <c r="U29" s="302">
        <f t="shared" si="1"/>
        <v>8000000</v>
      </c>
      <c r="V29" s="798" t="s">
        <v>1404</v>
      </c>
      <c r="W29" s="294">
        <v>20</v>
      </c>
      <c r="X29" s="300" t="s">
        <v>67</v>
      </c>
      <c r="Y29" s="304"/>
      <c r="Z29" s="305"/>
      <c r="AA29" s="304"/>
      <c r="AB29" s="304"/>
      <c r="AC29" s="304"/>
      <c r="AD29" s="304"/>
      <c r="AE29" s="304"/>
      <c r="AF29" s="304"/>
      <c r="AG29" s="304"/>
      <c r="AH29" s="304"/>
      <c r="AI29" s="304"/>
      <c r="AJ29" s="304"/>
      <c r="AK29" s="304"/>
      <c r="AL29" s="786">
        <v>3500</v>
      </c>
      <c r="AM29" s="304"/>
      <c r="AN29" s="305" t="s">
        <v>1396</v>
      </c>
      <c r="AO29" s="306">
        <v>46023</v>
      </c>
      <c r="AP29" s="306">
        <v>46387</v>
      </c>
      <c r="AQ29" s="307" t="s">
        <v>1361</v>
      </c>
    </row>
    <row r="30" spans="1:44" ht="72" hidden="1">
      <c r="A30" s="294">
        <v>1</v>
      </c>
      <c r="B30" s="295" t="s">
        <v>513</v>
      </c>
      <c r="C30" s="294">
        <v>41</v>
      </c>
      <c r="D30" s="296" t="s">
        <v>1354</v>
      </c>
      <c r="E30" s="297">
        <v>4103</v>
      </c>
      <c r="F30" s="298" t="s">
        <v>318</v>
      </c>
      <c r="G30" s="294">
        <v>4103052</v>
      </c>
      <c r="H30" s="298" t="s">
        <v>1405</v>
      </c>
      <c r="I30" s="799">
        <v>410305202</v>
      </c>
      <c r="J30" s="796" t="s">
        <v>1406</v>
      </c>
      <c r="K30" s="299">
        <v>1</v>
      </c>
      <c r="L30" s="299"/>
      <c r="M30" s="299">
        <f t="shared" si="2"/>
        <v>1</v>
      </c>
      <c r="N30" s="294">
        <v>2024003630053</v>
      </c>
      <c r="O30" s="796" t="s">
        <v>1407</v>
      </c>
      <c r="P30" s="874" t="s">
        <v>1408</v>
      </c>
      <c r="Q30" s="290">
        <v>98649000</v>
      </c>
      <c r="R30" s="301">
        <f>7400000+16600000+7400000</f>
        <v>31400000</v>
      </c>
      <c r="S30" s="301"/>
      <c r="T30" s="301"/>
      <c r="U30" s="302">
        <f t="shared" si="1"/>
        <v>98649000</v>
      </c>
      <c r="V30" s="784" t="s">
        <v>1409</v>
      </c>
      <c r="W30" s="294">
        <v>20</v>
      </c>
      <c r="X30" s="300" t="s">
        <v>67</v>
      </c>
      <c r="Y30" s="304">
        <v>162</v>
      </c>
      <c r="Z30" s="305" t="s">
        <v>1410</v>
      </c>
      <c r="AA30" s="304"/>
      <c r="AB30" s="304"/>
      <c r="AC30" s="304"/>
      <c r="AD30" s="304"/>
      <c r="AE30" s="304"/>
      <c r="AF30" s="304"/>
      <c r="AG30" s="304"/>
      <c r="AH30" s="304"/>
      <c r="AI30" s="304"/>
      <c r="AJ30" s="304"/>
      <c r="AK30" s="304"/>
      <c r="AL30" s="304"/>
      <c r="AM30" s="304"/>
      <c r="AN30" s="305">
        <f t="shared" ref="AN30:AN93" si="3">Y30+Z30</f>
        <v>250</v>
      </c>
      <c r="AO30" s="306">
        <v>46023</v>
      </c>
      <c r="AP30" s="306">
        <v>46387</v>
      </c>
      <c r="AQ30" s="307" t="s">
        <v>1361</v>
      </c>
    </row>
    <row r="31" spans="1:44" ht="71.25" hidden="1">
      <c r="A31" s="294">
        <v>1</v>
      </c>
      <c r="B31" s="295" t="s">
        <v>513</v>
      </c>
      <c r="C31" s="294">
        <v>41</v>
      </c>
      <c r="D31" s="296" t="s">
        <v>1354</v>
      </c>
      <c r="E31" s="297">
        <v>4103</v>
      </c>
      <c r="F31" s="298" t="s">
        <v>318</v>
      </c>
      <c r="G31" s="294">
        <v>4103052</v>
      </c>
      <c r="H31" s="298" t="s">
        <v>1405</v>
      </c>
      <c r="I31" s="799">
        <v>410305202</v>
      </c>
      <c r="J31" s="796" t="s">
        <v>1406</v>
      </c>
      <c r="K31" s="299">
        <v>1</v>
      </c>
      <c r="L31" s="299"/>
      <c r="M31" s="299">
        <f t="shared" si="2"/>
        <v>1</v>
      </c>
      <c r="N31" s="294">
        <v>2024003630053</v>
      </c>
      <c r="O31" s="796" t="s">
        <v>1407</v>
      </c>
      <c r="P31" s="874" t="s">
        <v>1411</v>
      </c>
      <c r="Q31" s="290">
        <v>5000000</v>
      </c>
      <c r="R31" s="301"/>
      <c r="S31" s="301"/>
      <c r="T31" s="301"/>
      <c r="U31" s="302">
        <f t="shared" si="1"/>
        <v>5000000</v>
      </c>
      <c r="V31" s="788" t="s">
        <v>1412</v>
      </c>
      <c r="W31" s="294">
        <v>20</v>
      </c>
      <c r="X31" s="300" t="s">
        <v>67</v>
      </c>
      <c r="Y31" s="304">
        <v>162</v>
      </c>
      <c r="Z31" s="305" t="s">
        <v>1410</v>
      </c>
      <c r="AA31" s="304"/>
      <c r="AB31" s="304"/>
      <c r="AC31" s="304"/>
      <c r="AD31" s="304"/>
      <c r="AE31" s="304"/>
      <c r="AF31" s="304"/>
      <c r="AG31" s="304"/>
      <c r="AH31" s="304"/>
      <c r="AI31" s="304"/>
      <c r="AJ31" s="304"/>
      <c r="AK31" s="304"/>
      <c r="AL31" s="304"/>
      <c r="AM31" s="304"/>
      <c r="AN31" s="305">
        <f t="shared" si="3"/>
        <v>250</v>
      </c>
      <c r="AO31" s="306">
        <v>46023</v>
      </c>
      <c r="AP31" s="306">
        <v>46387</v>
      </c>
      <c r="AQ31" s="307" t="s">
        <v>1361</v>
      </c>
    </row>
    <row r="32" spans="1:44" ht="86.25" hidden="1">
      <c r="A32" s="294">
        <v>1</v>
      </c>
      <c r="B32" s="295" t="s">
        <v>513</v>
      </c>
      <c r="C32" s="294">
        <v>41</v>
      </c>
      <c r="D32" s="296" t="s">
        <v>1354</v>
      </c>
      <c r="E32" s="297">
        <v>4104</v>
      </c>
      <c r="F32" s="298" t="s">
        <v>1390</v>
      </c>
      <c r="G32" s="294" t="s">
        <v>1413</v>
      </c>
      <c r="H32" s="298" t="s">
        <v>1414</v>
      </c>
      <c r="I32" s="294">
        <v>410400800</v>
      </c>
      <c r="J32" s="298" t="s">
        <v>1415</v>
      </c>
      <c r="K32" s="299">
        <v>7500</v>
      </c>
      <c r="L32" s="299"/>
      <c r="M32" s="299">
        <f t="shared" si="2"/>
        <v>7500</v>
      </c>
      <c r="N32" s="294">
        <v>2024003630057</v>
      </c>
      <c r="O32" s="298" t="s">
        <v>1416</v>
      </c>
      <c r="P32" s="781" t="s">
        <v>1417</v>
      </c>
      <c r="Q32" s="302">
        <v>88000000</v>
      </c>
      <c r="R32" s="301">
        <f>4000000+3400000+5000000+6500000</f>
        <v>18900000</v>
      </c>
      <c r="S32" s="301"/>
      <c r="T32" s="301"/>
      <c r="U32" s="302">
        <f>+Q32-R32+S32-T32</f>
        <v>69100000</v>
      </c>
      <c r="V32" s="800" t="s">
        <v>1418</v>
      </c>
      <c r="W32" s="294">
        <v>20</v>
      </c>
      <c r="X32" s="300" t="s">
        <v>67</v>
      </c>
      <c r="Y32" s="304">
        <v>3750</v>
      </c>
      <c r="Z32" s="305">
        <v>3750</v>
      </c>
      <c r="AA32" s="304"/>
      <c r="AB32" s="304"/>
      <c r="AC32" s="304"/>
      <c r="AD32" s="304">
        <v>7500</v>
      </c>
      <c r="AE32" s="304"/>
      <c r="AF32" s="304"/>
      <c r="AG32" s="304"/>
      <c r="AH32" s="304"/>
      <c r="AI32" s="304"/>
      <c r="AJ32" s="304"/>
      <c r="AK32" s="304"/>
      <c r="AL32" s="304"/>
      <c r="AM32" s="304"/>
      <c r="AN32" s="305">
        <f t="shared" si="3"/>
        <v>7500</v>
      </c>
      <c r="AO32" s="306">
        <v>46023</v>
      </c>
      <c r="AP32" s="306">
        <v>46387</v>
      </c>
      <c r="AQ32" s="307" t="s">
        <v>1361</v>
      </c>
    </row>
    <row r="33" spans="1:43" ht="86.25" hidden="1">
      <c r="A33" s="294">
        <v>1</v>
      </c>
      <c r="B33" s="295" t="s">
        <v>513</v>
      </c>
      <c r="C33" s="294">
        <v>41</v>
      </c>
      <c r="D33" s="296" t="s">
        <v>1354</v>
      </c>
      <c r="E33" s="297">
        <v>4104</v>
      </c>
      <c r="F33" s="298" t="s">
        <v>1390</v>
      </c>
      <c r="G33" s="294" t="s">
        <v>1413</v>
      </c>
      <c r="H33" s="298" t="s">
        <v>1414</v>
      </c>
      <c r="I33" s="294">
        <v>410400800</v>
      </c>
      <c r="J33" s="298" t="s">
        <v>1415</v>
      </c>
      <c r="K33" s="299">
        <v>7500</v>
      </c>
      <c r="L33" s="299"/>
      <c r="M33" s="299">
        <f t="shared" si="2"/>
        <v>7500</v>
      </c>
      <c r="N33" s="294">
        <v>2024003630057</v>
      </c>
      <c r="O33" s="298" t="s">
        <v>1416</v>
      </c>
      <c r="P33" s="781" t="s">
        <v>1419</v>
      </c>
      <c r="Q33" s="302">
        <v>10000000</v>
      </c>
      <c r="R33" s="301">
        <f>4500000+4500000</f>
        <v>9000000</v>
      </c>
      <c r="S33" s="301"/>
      <c r="T33" s="301"/>
      <c r="U33" s="302">
        <f t="shared" si="1"/>
        <v>10000000</v>
      </c>
      <c r="V33" s="800" t="s">
        <v>1418</v>
      </c>
      <c r="W33" s="294">
        <v>20</v>
      </c>
      <c r="X33" s="300" t="s">
        <v>67</v>
      </c>
      <c r="Y33" s="304">
        <v>3750</v>
      </c>
      <c r="Z33" s="305">
        <v>3750</v>
      </c>
      <c r="AA33" s="304"/>
      <c r="AB33" s="304"/>
      <c r="AC33" s="304"/>
      <c r="AD33" s="304">
        <v>7500</v>
      </c>
      <c r="AE33" s="304"/>
      <c r="AF33" s="304"/>
      <c r="AG33" s="304"/>
      <c r="AH33" s="304"/>
      <c r="AI33" s="304"/>
      <c r="AJ33" s="304"/>
      <c r="AK33" s="304"/>
      <c r="AL33" s="304"/>
      <c r="AM33" s="304"/>
      <c r="AN33" s="305">
        <f t="shared" si="3"/>
        <v>7500</v>
      </c>
      <c r="AO33" s="306">
        <v>46023</v>
      </c>
      <c r="AP33" s="306">
        <v>46387</v>
      </c>
      <c r="AQ33" s="307" t="s">
        <v>1361</v>
      </c>
    </row>
    <row r="34" spans="1:43" ht="86.25" hidden="1">
      <c r="A34" s="294">
        <v>1</v>
      </c>
      <c r="B34" s="295" t="s">
        <v>513</v>
      </c>
      <c r="C34" s="294">
        <v>41</v>
      </c>
      <c r="D34" s="296" t="s">
        <v>1354</v>
      </c>
      <c r="E34" s="297">
        <v>4104</v>
      </c>
      <c r="F34" s="298" t="s">
        <v>1390</v>
      </c>
      <c r="G34" s="294" t="s">
        <v>1413</v>
      </c>
      <c r="H34" s="298" t="s">
        <v>1414</v>
      </c>
      <c r="I34" s="294">
        <v>410400800</v>
      </c>
      <c r="J34" s="298" t="s">
        <v>1415</v>
      </c>
      <c r="K34" s="299">
        <v>7500</v>
      </c>
      <c r="L34" s="299"/>
      <c r="M34" s="299">
        <f t="shared" si="2"/>
        <v>7500</v>
      </c>
      <c r="N34" s="294">
        <v>2024003630057</v>
      </c>
      <c r="O34" s="298" t="s">
        <v>1416</v>
      </c>
      <c r="P34" s="781" t="s">
        <v>1420</v>
      </c>
      <c r="Q34" s="302">
        <v>10000000</v>
      </c>
      <c r="R34" s="301">
        <f>2500000+2500000</f>
        <v>5000000</v>
      </c>
      <c r="S34" s="301"/>
      <c r="T34" s="301"/>
      <c r="U34" s="302">
        <f t="shared" si="1"/>
        <v>10000000</v>
      </c>
      <c r="V34" s="800" t="s">
        <v>1418</v>
      </c>
      <c r="W34" s="294">
        <v>20</v>
      </c>
      <c r="X34" s="300" t="s">
        <v>67</v>
      </c>
      <c r="Y34" s="304">
        <v>3750</v>
      </c>
      <c r="Z34" s="305">
        <v>3750</v>
      </c>
      <c r="AA34" s="304"/>
      <c r="AB34" s="304"/>
      <c r="AC34" s="304"/>
      <c r="AD34" s="304">
        <v>7500</v>
      </c>
      <c r="AE34" s="304"/>
      <c r="AF34" s="304"/>
      <c r="AG34" s="304"/>
      <c r="AH34" s="304"/>
      <c r="AI34" s="304"/>
      <c r="AJ34" s="304"/>
      <c r="AK34" s="304"/>
      <c r="AL34" s="304"/>
      <c r="AM34" s="304"/>
      <c r="AN34" s="305">
        <f t="shared" si="3"/>
        <v>7500</v>
      </c>
      <c r="AO34" s="306">
        <v>46023</v>
      </c>
      <c r="AP34" s="306">
        <v>46387</v>
      </c>
      <c r="AQ34" s="307" t="s">
        <v>1361</v>
      </c>
    </row>
    <row r="35" spans="1:43" ht="85.5" hidden="1">
      <c r="A35" s="294">
        <v>1</v>
      </c>
      <c r="B35" s="295" t="s">
        <v>513</v>
      </c>
      <c r="C35" s="294">
        <v>41</v>
      </c>
      <c r="D35" s="296" t="s">
        <v>1354</v>
      </c>
      <c r="E35" s="297">
        <v>4104</v>
      </c>
      <c r="F35" s="298" t="s">
        <v>1390</v>
      </c>
      <c r="G35" s="294" t="s">
        <v>1413</v>
      </c>
      <c r="H35" s="298" t="s">
        <v>1414</v>
      </c>
      <c r="I35" s="294">
        <v>410400800</v>
      </c>
      <c r="J35" s="298" t="s">
        <v>1415</v>
      </c>
      <c r="K35" s="299">
        <v>7500</v>
      </c>
      <c r="L35" s="299"/>
      <c r="M35" s="299">
        <f t="shared" si="2"/>
        <v>7500</v>
      </c>
      <c r="N35" s="294">
        <v>2024003630057</v>
      </c>
      <c r="O35" s="298" t="s">
        <v>1416</v>
      </c>
      <c r="P35" s="781" t="s">
        <v>1421</v>
      </c>
      <c r="Q35" s="302">
        <v>45000000</v>
      </c>
      <c r="R35" s="301"/>
      <c r="S35" s="301"/>
      <c r="T35" s="301"/>
      <c r="U35" s="302">
        <f t="shared" si="1"/>
        <v>45000000</v>
      </c>
      <c r="V35" s="800" t="s">
        <v>1418</v>
      </c>
      <c r="W35" s="294">
        <v>20</v>
      </c>
      <c r="X35" s="300" t="s">
        <v>67</v>
      </c>
      <c r="Y35" s="304">
        <v>3750</v>
      </c>
      <c r="Z35" s="305">
        <v>3750</v>
      </c>
      <c r="AA35" s="304"/>
      <c r="AB35" s="304"/>
      <c r="AC35" s="304"/>
      <c r="AD35" s="304">
        <v>7500</v>
      </c>
      <c r="AE35" s="304"/>
      <c r="AF35" s="304"/>
      <c r="AG35" s="304"/>
      <c r="AH35" s="304"/>
      <c r="AI35" s="304"/>
      <c r="AJ35" s="304"/>
      <c r="AK35" s="304"/>
      <c r="AL35" s="304"/>
      <c r="AM35" s="304"/>
      <c r="AN35" s="305">
        <f t="shared" si="3"/>
        <v>7500</v>
      </c>
      <c r="AO35" s="306">
        <v>46023</v>
      </c>
      <c r="AP35" s="306">
        <v>46387</v>
      </c>
      <c r="AQ35" s="307" t="s">
        <v>1361</v>
      </c>
    </row>
    <row r="36" spans="1:43" ht="85.5" hidden="1">
      <c r="A36" s="294">
        <v>1</v>
      </c>
      <c r="B36" s="295" t="s">
        <v>513</v>
      </c>
      <c r="C36" s="294">
        <v>41</v>
      </c>
      <c r="D36" s="296" t="s">
        <v>1354</v>
      </c>
      <c r="E36" s="297">
        <v>4104</v>
      </c>
      <c r="F36" s="298" t="s">
        <v>1390</v>
      </c>
      <c r="G36" s="294" t="s">
        <v>1413</v>
      </c>
      <c r="H36" s="298" t="s">
        <v>1414</v>
      </c>
      <c r="I36" s="294">
        <v>410400800</v>
      </c>
      <c r="J36" s="298" t="s">
        <v>1415</v>
      </c>
      <c r="K36" s="299">
        <v>7500</v>
      </c>
      <c r="L36" s="299"/>
      <c r="M36" s="299">
        <f t="shared" si="2"/>
        <v>7500</v>
      </c>
      <c r="N36" s="294">
        <v>2024003630057</v>
      </c>
      <c r="O36" s="298" t="s">
        <v>1416</v>
      </c>
      <c r="P36" s="781" t="s">
        <v>1422</v>
      </c>
      <c r="Q36" s="302">
        <v>20000000</v>
      </c>
      <c r="R36" s="301"/>
      <c r="S36" s="301"/>
      <c r="T36" s="301"/>
      <c r="U36" s="302">
        <f t="shared" si="1"/>
        <v>20000000</v>
      </c>
      <c r="V36" s="800" t="s">
        <v>1418</v>
      </c>
      <c r="W36" s="294">
        <v>20</v>
      </c>
      <c r="X36" s="300" t="s">
        <v>67</v>
      </c>
      <c r="Y36" s="304">
        <v>3750</v>
      </c>
      <c r="Z36" s="305">
        <v>3750</v>
      </c>
      <c r="AA36" s="304"/>
      <c r="AB36" s="304"/>
      <c r="AC36" s="304"/>
      <c r="AD36" s="304">
        <v>7500</v>
      </c>
      <c r="AE36" s="304"/>
      <c r="AF36" s="304"/>
      <c r="AG36" s="304"/>
      <c r="AH36" s="304"/>
      <c r="AI36" s="304"/>
      <c r="AJ36" s="304"/>
      <c r="AK36" s="304"/>
      <c r="AL36" s="304"/>
      <c r="AM36" s="304"/>
      <c r="AN36" s="305">
        <f t="shared" si="3"/>
        <v>7500</v>
      </c>
      <c r="AO36" s="306">
        <v>46023</v>
      </c>
      <c r="AP36" s="306">
        <v>46387</v>
      </c>
      <c r="AQ36" s="307" t="s">
        <v>1361</v>
      </c>
    </row>
    <row r="37" spans="1:43" ht="85.5" hidden="1">
      <c r="A37" s="294">
        <v>1</v>
      </c>
      <c r="B37" s="295" t="s">
        <v>513</v>
      </c>
      <c r="C37" s="294">
        <v>41</v>
      </c>
      <c r="D37" s="296" t="s">
        <v>1354</v>
      </c>
      <c r="E37" s="297">
        <v>4104</v>
      </c>
      <c r="F37" s="298" t="s">
        <v>1390</v>
      </c>
      <c r="G37" s="294" t="s">
        <v>1413</v>
      </c>
      <c r="H37" s="298" t="s">
        <v>1414</v>
      </c>
      <c r="I37" s="294">
        <v>410400800</v>
      </c>
      <c r="J37" s="298" t="s">
        <v>1415</v>
      </c>
      <c r="K37" s="299">
        <v>7500</v>
      </c>
      <c r="L37" s="299"/>
      <c r="M37" s="299">
        <f t="shared" si="2"/>
        <v>7500</v>
      </c>
      <c r="N37" s="294">
        <v>2024003630057</v>
      </c>
      <c r="O37" s="298" t="s">
        <v>1416</v>
      </c>
      <c r="P37" s="781" t="s">
        <v>1423</v>
      </c>
      <c r="Q37" s="302">
        <v>50000000</v>
      </c>
      <c r="R37" s="301"/>
      <c r="S37" s="301"/>
      <c r="T37" s="301"/>
      <c r="U37" s="302">
        <f t="shared" si="1"/>
        <v>50000000</v>
      </c>
      <c r="V37" s="800" t="s">
        <v>1418</v>
      </c>
      <c r="W37" s="294">
        <v>20</v>
      </c>
      <c r="X37" s="300" t="s">
        <v>67</v>
      </c>
      <c r="Y37" s="304">
        <v>3750</v>
      </c>
      <c r="Z37" s="305">
        <v>3750</v>
      </c>
      <c r="AA37" s="304"/>
      <c r="AB37" s="304"/>
      <c r="AC37" s="304"/>
      <c r="AD37" s="304">
        <v>7500</v>
      </c>
      <c r="AE37" s="304"/>
      <c r="AF37" s="304"/>
      <c r="AG37" s="304"/>
      <c r="AH37" s="304"/>
      <c r="AI37" s="304"/>
      <c r="AJ37" s="304"/>
      <c r="AK37" s="304"/>
      <c r="AL37" s="304"/>
      <c r="AM37" s="304"/>
      <c r="AN37" s="305">
        <f t="shared" si="3"/>
        <v>7500</v>
      </c>
      <c r="AO37" s="306">
        <v>46023</v>
      </c>
      <c r="AP37" s="306">
        <v>46387</v>
      </c>
      <c r="AQ37" s="307" t="s">
        <v>1361</v>
      </c>
    </row>
    <row r="38" spans="1:43" ht="85.5" hidden="1">
      <c r="A38" s="294">
        <v>1</v>
      </c>
      <c r="B38" s="295" t="s">
        <v>513</v>
      </c>
      <c r="C38" s="294">
        <v>41</v>
      </c>
      <c r="D38" s="296" t="s">
        <v>1354</v>
      </c>
      <c r="E38" s="297">
        <v>4104</v>
      </c>
      <c r="F38" s="298" t="s">
        <v>1390</v>
      </c>
      <c r="G38" s="294" t="s">
        <v>1413</v>
      </c>
      <c r="H38" s="298" t="s">
        <v>1414</v>
      </c>
      <c r="I38" s="294">
        <v>410400800</v>
      </c>
      <c r="J38" s="298" t="s">
        <v>1415</v>
      </c>
      <c r="K38" s="299">
        <v>7500</v>
      </c>
      <c r="L38" s="299"/>
      <c r="M38" s="299">
        <f t="shared" si="2"/>
        <v>7500</v>
      </c>
      <c r="N38" s="294">
        <v>2024003630057</v>
      </c>
      <c r="O38" s="298" t="s">
        <v>1416</v>
      </c>
      <c r="P38" s="781" t="s">
        <v>1424</v>
      </c>
      <c r="Q38" s="302">
        <v>10000000</v>
      </c>
      <c r="R38" s="301"/>
      <c r="S38" s="301"/>
      <c r="T38" s="301"/>
      <c r="U38" s="302">
        <f t="shared" si="1"/>
        <v>10000000</v>
      </c>
      <c r="V38" s="897" t="s">
        <v>1425</v>
      </c>
      <c r="W38" s="294">
        <v>20</v>
      </c>
      <c r="X38" s="300" t="s">
        <v>67</v>
      </c>
      <c r="Y38" s="304">
        <v>3750</v>
      </c>
      <c r="Z38" s="305">
        <v>3750</v>
      </c>
      <c r="AA38" s="304"/>
      <c r="AB38" s="304"/>
      <c r="AC38" s="304"/>
      <c r="AD38" s="304">
        <v>7500</v>
      </c>
      <c r="AE38" s="304"/>
      <c r="AF38" s="304"/>
      <c r="AG38" s="304"/>
      <c r="AH38" s="304"/>
      <c r="AI38" s="304"/>
      <c r="AJ38" s="304"/>
      <c r="AK38" s="304"/>
      <c r="AL38" s="304"/>
      <c r="AM38" s="304"/>
      <c r="AN38" s="305">
        <f t="shared" si="3"/>
        <v>7500</v>
      </c>
      <c r="AO38" s="306">
        <v>46023</v>
      </c>
      <c r="AP38" s="306">
        <v>46387</v>
      </c>
      <c r="AQ38" s="307" t="s">
        <v>1361</v>
      </c>
    </row>
    <row r="39" spans="1:43" ht="85.5" hidden="1">
      <c r="A39" s="294">
        <v>1</v>
      </c>
      <c r="B39" s="295" t="s">
        <v>513</v>
      </c>
      <c r="C39" s="294">
        <v>41</v>
      </c>
      <c r="D39" s="296" t="s">
        <v>1354</v>
      </c>
      <c r="E39" s="297">
        <v>4104</v>
      </c>
      <c r="F39" s="298" t="s">
        <v>1390</v>
      </c>
      <c r="G39" s="294" t="s">
        <v>1413</v>
      </c>
      <c r="H39" s="298" t="s">
        <v>1414</v>
      </c>
      <c r="I39" s="294">
        <v>410400800</v>
      </c>
      <c r="J39" s="298" t="s">
        <v>1415</v>
      </c>
      <c r="K39" s="299">
        <v>7500</v>
      </c>
      <c r="L39" s="299"/>
      <c r="M39" s="299">
        <f t="shared" si="2"/>
        <v>7500</v>
      </c>
      <c r="N39" s="294">
        <v>2024003630057</v>
      </c>
      <c r="O39" s="298" t="s">
        <v>1416</v>
      </c>
      <c r="P39" s="781" t="s">
        <v>1426</v>
      </c>
      <c r="Q39" s="302">
        <v>5000000</v>
      </c>
      <c r="R39" s="301"/>
      <c r="S39" s="301"/>
      <c r="T39" s="301"/>
      <c r="U39" s="302">
        <f t="shared" si="1"/>
        <v>5000000</v>
      </c>
      <c r="V39" s="897" t="s">
        <v>1427</v>
      </c>
      <c r="W39" s="294">
        <v>20</v>
      </c>
      <c r="X39" s="300" t="s">
        <v>67</v>
      </c>
      <c r="Y39" s="304">
        <v>3750</v>
      </c>
      <c r="Z39" s="305">
        <v>3750</v>
      </c>
      <c r="AA39" s="304"/>
      <c r="AB39" s="304"/>
      <c r="AC39" s="304"/>
      <c r="AD39" s="304">
        <v>7500</v>
      </c>
      <c r="AE39" s="304"/>
      <c r="AF39" s="304"/>
      <c r="AG39" s="304"/>
      <c r="AH39" s="304"/>
      <c r="AI39" s="304"/>
      <c r="AJ39" s="304"/>
      <c r="AK39" s="304"/>
      <c r="AL39" s="304"/>
      <c r="AM39" s="304"/>
      <c r="AN39" s="305">
        <f t="shared" si="3"/>
        <v>7500</v>
      </c>
      <c r="AO39" s="306">
        <v>46023</v>
      </c>
      <c r="AP39" s="306">
        <v>46387</v>
      </c>
      <c r="AQ39" s="307" t="s">
        <v>1361</v>
      </c>
    </row>
    <row r="40" spans="1:43" ht="85.5" hidden="1">
      <c r="A40" s="294">
        <v>1</v>
      </c>
      <c r="B40" s="295" t="s">
        <v>513</v>
      </c>
      <c r="C40" s="294">
        <v>41</v>
      </c>
      <c r="D40" s="296" t="s">
        <v>1354</v>
      </c>
      <c r="E40" s="297">
        <v>4104</v>
      </c>
      <c r="F40" s="298" t="s">
        <v>1390</v>
      </c>
      <c r="G40" s="294" t="s">
        <v>1413</v>
      </c>
      <c r="H40" s="298" t="s">
        <v>1414</v>
      </c>
      <c r="I40" s="294">
        <v>410400800</v>
      </c>
      <c r="J40" s="298" t="s">
        <v>1415</v>
      </c>
      <c r="K40" s="299">
        <v>7500</v>
      </c>
      <c r="L40" s="299"/>
      <c r="M40" s="299">
        <f t="shared" si="2"/>
        <v>7500</v>
      </c>
      <c r="N40" s="294">
        <v>2024003630057</v>
      </c>
      <c r="O40" s="298" t="s">
        <v>1416</v>
      </c>
      <c r="P40" s="781" t="s">
        <v>1428</v>
      </c>
      <c r="Q40" s="302">
        <v>7000000</v>
      </c>
      <c r="R40" s="301"/>
      <c r="S40" s="301"/>
      <c r="T40" s="301"/>
      <c r="U40" s="302">
        <f t="shared" si="1"/>
        <v>7000000</v>
      </c>
      <c r="V40" s="898" t="s">
        <v>1429</v>
      </c>
      <c r="W40" s="294">
        <v>20</v>
      </c>
      <c r="X40" s="300" t="s">
        <v>67</v>
      </c>
      <c r="Y40" s="304">
        <v>3750</v>
      </c>
      <c r="Z40" s="305">
        <v>3750</v>
      </c>
      <c r="AA40" s="304"/>
      <c r="AB40" s="304"/>
      <c r="AC40" s="304"/>
      <c r="AD40" s="304">
        <v>7500</v>
      </c>
      <c r="AE40" s="304"/>
      <c r="AF40" s="304"/>
      <c r="AG40" s="304"/>
      <c r="AH40" s="304"/>
      <c r="AI40" s="304"/>
      <c r="AJ40" s="304"/>
      <c r="AK40" s="304"/>
      <c r="AL40" s="304"/>
      <c r="AM40" s="304"/>
      <c r="AN40" s="305">
        <f t="shared" si="3"/>
        <v>7500</v>
      </c>
      <c r="AO40" s="306">
        <v>46023</v>
      </c>
      <c r="AP40" s="306">
        <v>46387</v>
      </c>
      <c r="AQ40" s="307" t="s">
        <v>1361</v>
      </c>
    </row>
    <row r="41" spans="1:43" ht="85.5" hidden="1">
      <c r="A41" s="294">
        <v>1</v>
      </c>
      <c r="B41" s="295" t="s">
        <v>513</v>
      </c>
      <c r="C41" s="294">
        <v>41</v>
      </c>
      <c r="D41" s="296" t="s">
        <v>1354</v>
      </c>
      <c r="E41" s="297">
        <v>4104</v>
      </c>
      <c r="F41" s="298" t="s">
        <v>1390</v>
      </c>
      <c r="G41" s="294" t="s">
        <v>1413</v>
      </c>
      <c r="H41" s="298" t="s">
        <v>1414</v>
      </c>
      <c r="I41" s="294">
        <v>410400800</v>
      </c>
      <c r="J41" s="298" t="s">
        <v>1415</v>
      </c>
      <c r="K41" s="299">
        <v>7500</v>
      </c>
      <c r="L41" s="299"/>
      <c r="M41" s="299">
        <f t="shared" si="2"/>
        <v>7500</v>
      </c>
      <c r="N41" s="294">
        <v>2024003630057</v>
      </c>
      <c r="O41" s="298" t="s">
        <v>1416</v>
      </c>
      <c r="P41" s="781" t="s">
        <v>1430</v>
      </c>
      <c r="Q41" s="302">
        <v>900000000</v>
      </c>
      <c r="R41" s="301"/>
      <c r="S41" s="301"/>
      <c r="T41" s="301"/>
      <c r="U41" s="302">
        <f t="shared" si="1"/>
        <v>900000000</v>
      </c>
      <c r="V41" s="801" t="s">
        <v>1431</v>
      </c>
      <c r="W41" s="802">
        <v>6</v>
      </c>
      <c r="X41" s="803" t="s">
        <v>1432</v>
      </c>
      <c r="Y41" s="304">
        <v>3750</v>
      </c>
      <c r="Z41" s="305">
        <v>3750</v>
      </c>
      <c r="AA41" s="304"/>
      <c r="AB41" s="304"/>
      <c r="AC41" s="304"/>
      <c r="AD41" s="304">
        <v>7500</v>
      </c>
      <c r="AE41" s="304"/>
      <c r="AF41" s="304"/>
      <c r="AG41" s="304"/>
      <c r="AH41" s="304"/>
      <c r="AI41" s="304"/>
      <c r="AJ41" s="304"/>
      <c r="AK41" s="304"/>
      <c r="AL41" s="304"/>
      <c r="AM41" s="304"/>
      <c r="AN41" s="305">
        <f t="shared" si="3"/>
        <v>7500</v>
      </c>
      <c r="AO41" s="306">
        <v>46023</v>
      </c>
      <c r="AP41" s="306">
        <v>46387</v>
      </c>
      <c r="AQ41" s="307" t="s">
        <v>1361</v>
      </c>
    </row>
    <row r="42" spans="1:43" ht="85.5" hidden="1">
      <c r="A42" s="294">
        <v>1</v>
      </c>
      <c r="B42" s="295" t="s">
        <v>513</v>
      </c>
      <c r="C42" s="294">
        <v>41</v>
      </c>
      <c r="D42" s="296" t="s">
        <v>1354</v>
      </c>
      <c r="E42" s="297">
        <v>4104</v>
      </c>
      <c r="F42" s="298" t="s">
        <v>1390</v>
      </c>
      <c r="G42" s="294" t="s">
        <v>1413</v>
      </c>
      <c r="H42" s="298" t="s">
        <v>1414</v>
      </c>
      <c r="I42" s="294">
        <v>410400800</v>
      </c>
      <c r="J42" s="298" t="s">
        <v>1415</v>
      </c>
      <c r="K42" s="299">
        <v>7500</v>
      </c>
      <c r="L42" s="299"/>
      <c r="M42" s="299">
        <f t="shared" si="2"/>
        <v>7500</v>
      </c>
      <c r="N42" s="294">
        <v>2024003630057</v>
      </c>
      <c r="O42" s="298" t="s">
        <v>1416</v>
      </c>
      <c r="P42" s="781" t="s">
        <v>1433</v>
      </c>
      <c r="Q42" s="302">
        <v>98000000</v>
      </c>
      <c r="R42" s="301"/>
      <c r="S42" s="301"/>
      <c r="T42" s="301"/>
      <c r="U42" s="302">
        <f t="shared" si="1"/>
        <v>98000000</v>
      </c>
      <c r="V42" s="801" t="s">
        <v>1434</v>
      </c>
      <c r="W42" s="802">
        <v>6</v>
      </c>
      <c r="X42" s="803" t="s">
        <v>1432</v>
      </c>
      <c r="Y42" s="304">
        <v>3750</v>
      </c>
      <c r="Z42" s="305">
        <v>3750</v>
      </c>
      <c r="AA42" s="304"/>
      <c r="AB42" s="304"/>
      <c r="AC42" s="304"/>
      <c r="AD42" s="304">
        <v>7500</v>
      </c>
      <c r="AE42" s="304"/>
      <c r="AF42" s="304"/>
      <c r="AG42" s="304"/>
      <c r="AH42" s="304"/>
      <c r="AI42" s="304"/>
      <c r="AJ42" s="304"/>
      <c r="AK42" s="304"/>
      <c r="AL42" s="304"/>
      <c r="AM42" s="304"/>
      <c r="AN42" s="305">
        <f t="shared" si="3"/>
        <v>7500</v>
      </c>
      <c r="AO42" s="306">
        <v>46023</v>
      </c>
      <c r="AP42" s="306">
        <v>46387</v>
      </c>
      <c r="AQ42" s="307" t="s">
        <v>1361</v>
      </c>
    </row>
    <row r="43" spans="1:43" ht="85.5" hidden="1">
      <c r="A43" s="294">
        <v>1</v>
      </c>
      <c r="B43" s="295" t="s">
        <v>513</v>
      </c>
      <c r="C43" s="294">
        <v>41</v>
      </c>
      <c r="D43" s="296" t="s">
        <v>1354</v>
      </c>
      <c r="E43" s="297">
        <v>4104</v>
      </c>
      <c r="F43" s="298" t="s">
        <v>1390</v>
      </c>
      <c r="G43" s="294" t="s">
        <v>1413</v>
      </c>
      <c r="H43" s="298" t="s">
        <v>1414</v>
      </c>
      <c r="I43" s="294">
        <v>410400800</v>
      </c>
      <c r="J43" s="298" t="s">
        <v>1415</v>
      </c>
      <c r="K43" s="299">
        <v>7500</v>
      </c>
      <c r="L43" s="299"/>
      <c r="M43" s="299">
        <f t="shared" si="2"/>
        <v>7500</v>
      </c>
      <c r="N43" s="294">
        <v>2024003630057</v>
      </c>
      <c r="O43" s="298" t="s">
        <v>1416</v>
      </c>
      <c r="P43" s="781" t="s">
        <v>1435</v>
      </c>
      <c r="Q43" s="302">
        <v>240000000</v>
      </c>
      <c r="R43" s="301"/>
      <c r="S43" s="301"/>
      <c r="T43" s="301"/>
      <c r="U43" s="302">
        <f t="shared" si="1"/>
        <v>240000000</v>
      </c>
      <c r="V43" s="801" t="s">
        <v>1436</v>
      </c>
      <c r="W43" s="802">
        <v>6</v>
      </c>
      <c r="X43" s="803" t="s">
        <v>1432</v>
      </c>
      <c r="Y43" s="304">
        <v>3750</v>
      </c>
      <c r="Z43" s="305">
        <v>3750</v>
      </c>
      <c r="AA43" s="304"/>
      <c r="AB43" s="304"/>
      <c r="AC43" s="304"/>
      <c r="AD43" s="304">
        <v>7500</v>
      </c>
      <c r="AE43" s="304"/>
      <c r="AF43" s="304"/>
      <c r="AG43" s="304"/>
      <c r="AH43" s="304"/>
      <c r="AI43" s="304"/>
      <c r="AJ43" s="304"/>
      <c r="AK43" s="304"/>
      <c r="AL43" s="304"/>
      <c r="AM43" s="304"/>
      <c r="AN43" s="305">
        <f t="shared" si="3"/>
        <v>7500</v>
      </c>
      <c r="AO43" s="306">
        <v>46023</v>
      </c>
      <c r="AP43" s="306">
        <v>46387</v>
      </c>
      <c r="AQ43" s="307" t="s">
        <v>1361</v>
      </c>
    </row>
    <row r="44" spans="1:43" ht="85.5" hidden="1">
      <c r="A44" s="294">
        <v>1</v>
      </c>
      <c r="B44" s="295" t="s">
        <v>513</v>
      </c>
      <c r="C44" s="294">
        <v>41</v>
      </c>
      <c r="D44" s="296" t="s">
        <v>1354</v>
      </c>
      <c r="E44" s="297">
        <v>4104</v>
      </c>
      <c r="F44" s="298" t="s">
        <v>1390</v>
      </c>
      <c r="G44" s="294" t="s">
        <v>1413</v>
      </c>
      <c r="H44" s="298" t="s">
        <v>1414</v>
      </c>
      <c r="I44" s="294">
        <v>410400800</v>
      </c>
      <c r="J44" s="298" t="s">
        <v>1415</v>
      </c>
      <c r="K44" s="299">
        <v>7500</v>
      </c>
      <c r="L44" s="299"/>
      <c r="M44" s="299">
        <f t="shared" si="2"/>
        <v>7500</v>
      </c>
      <c r="N44" s="294">
        <v>2024003630057</v>
      </c>
      <c r="O44" s="298" t="s">
        <v>1416</v>
      </c>
      <c r="P44" s="781" t="s">
        <v>1437</v>
      </c>
      <c r="Q44" s="302">
        <v>154000000</v>
      </c>
      <c r="R44" s="301"/>
      <c r="S44" s="301"/>
      <c r="T44" s="301"/>
      <c r="U44" s="302">
        <f t="shared" si="1"/>
        <v>154000000</v>
      </c>
      <c r="V44" s="801" t="s">
        <v>1438</v>
      </c>
      <c r="W44" s="802">
        <v>6</v>
      </c>
      <c r="X44" s="803" t="s">
        <v>1432</v>
      </c>
      <c r="Y44" s="304">
        <v>3750</v>
      </c>
      <c r="Z44" s="305">
        <v>3750</v>
      </c>
      <c r="AA44" s="304"/>
      <c r="AB44" s="304"/>
      <c r="AC44" s="304"/>
      <c r="AD44" s="304">
        <v>7500</v>
      </c>
      <c r="AE44" s="304"/>
      <c r="AF44" s="304"/>
      <c r="AG44" s="304"/>
      <c r="AH44" s="304"/>
      <c r="AI44" s="304"/>
      <c r="AJ44" s="304"/>
      <c r="AK44" s="304"/>
      <c r="AL44" s="304"/>
      <c r="AM44" s="304"/>
      <c r="AN44" s="305">
        <f t="shared" si="3"/>
        <v>7500</v>
      </c>
      <c r="AO44" s="306">
        <v>46023</v>
      </c>
      <c r="AP44" s="306">
        <v>46387</v>
      </c>
      <c r="AQ44" s="307" t="s">
        <v>1361</v>
      </c>
    </row>
    <row r="45" spans="1:43" ht="85.5" hidden="1">
      <c r="A45" s="294">
        <v>1</v>
      </c>
      <c r="B45" s="295" t="s">
        <v>513</v>
      </c>
      <c r="C45" s="294">
        <v>41</v>
      </c>
      <c r="D45" s="296" t="s">
        <v>1354</v>
      </c>
      <c r="E45" s="297">
        <v>4104</v>
      </c>
      <c r="F45" s="298" t="s">
        <v>1390</v>
      </c>
      <c r="G45" s="294" t="s">
        <v>1413</v>
      </c>
      <c r="H45" s="298" t="s">
        <v>1414</v>
      </c>
      <c r="I45" s="294">
        <v>410400800</v>
      </c>
      <c r="J45" s="298" t="s">
        <v>1415</v>
      </c>
      <c r="K45" s="299">
        <v>7500</v>
      </c>
      <c r="L45" s="299"/>
      <c r="M45" s="299">
        <f t="shared" si="2"/>
        <v>7500</v>
      </c>
      <c r="N45" s="294">
        <v>2024003630057</v>
      </c>
      <c r="O45" s="298" t="s">
        <v>1416</v>
      </c>
      <c r="P45" s="781" t="s">
        <v>1439</v>
      </c>
      <c r="Q45" s="302">
        <v>90000000</v>
      </c>
      <c r="R45" s="301"/>
      <c r="S45" s="301"/>
      <c r="T45" s="301"/>
      <c r="U45" s="302">
        <f t="shared" si="1"/>
        <v>90000000</v>
      </c>
      <c r="V45" s="801" t="s">
        <v>1440</v>
      </c>
      <c r="W45" s="802">
        <v>6</v>
      </c>
      <c r="X45" s="803" t="s">
        <v>1432</v>
      </c>
      <c r="Y45" s="304">
        <v>3750</v>
      </c>
      <c r="Z45" s="305">
        <v>3750</v>
      </c>
      <c r="AA45" s="304"/>
      <c r="AB45" s="304"/>
      <c r="AC45" s="304"/>
      <c r="AD45" s="304">
        <v>7500</v>
      </c>
      <c r="AE45" s="304"/>
      <c r="AF45" s="304"/>
      <c r="AG45" s="304"/>
      <c r="AH45" s="304"/>
      <c r="AI45" s="304"/>
      <c r="AJ45" s="304"/>
      <c r="AK45" s="304"/>
      <c r="AL45" s="304"/>
      <c r="AM45" s="304"/>
      <c r="AN45" s="305">
        <f t="shared" si="3"/>
        <v>7500</v>
      </c>
      <c r="AO45" s="306">
        <v>46023</v>
      </c>
      <c r="AP45" s="306">
        <v>46387</v>
      </c>
      <c r="AQ45" s="307" t="s">
        <v>1361</v>
      </c>
    </row>
    <row r="46" spans="1:43" ht="85.5" hidden="1">
      <c r="A46" s="294">
        <v>1</v>
      </c>
      <c r="B46" s="295" t="s">
        <v>513</v>
      </c>
      <c r="C46" s="294">
        <v>41</v>
      </c>
      <c r="D46" s="296" t="s">
        <v>1354</v>
      </c>
      <c r="E46" s="297">
        <v>4104</v>
      </c>
      <c r="F46" s="298" t="s">
        <v>1390</v>
      </c>
      <c r="G46" s="294" t="s">
        <v>1413</v>
      </c>
      <c r="H46" s="298" t="s">
        <v>1414</v>
      </c>
      <c r="I46" s="294">
        <v>410400800</v>
      </c>
      <c r="J46" s="298" t="s">
        <v>1415</v>
      </c>
      <c r="K46" s="299">
        <v>7500</v>
      </c>
      <c r="L46" s="299"/>
      <c r="M46" s="299">
        <f t="shared" si="2"/>
        <v>7500</v>
      </c>
      <c r="N46" s="294">
        <v>2024003630057</v>
      </c>
      <c r="O46" s="298" t="s">
        <v>1416</v>
      </c>
      <c r="P46" s="781" t="s">
        <v>1441</v>
      </c>
      <c r="Q46" s="302">
        <v>230000000</v>
      </c>
      <c r="R46" s="301"/>
      <c r="S46" s="301"/>
      <c r="T46" s="301"/>
      <c r="U46" s="302">
        <f t="shared" si="1"/>
        <v>230000000</v>
      </c>
      <c r="V46" s="801" t="s">
        <v>1442</v>
      </c>
      <c r="W46" s="802">
        <v>6</v>
      </c>
      <c r="X46" s="803" t="s">
        <v>1432</v>
      </c>
      <c r="Y46" s="304">
        <v>3750</v>
      </c>
      <c r="Z46" s="305">
        <v>3750</v>
      </c>
      <c r="AA46" s="304"/>
      <c r="AB46" s="304"/>
      <c r="AC46" s="304"/>
      <c r="AD46" s="304">
        <v>7500</v>
      </c>
      <c r="AE46" s="304"/>
      <c r="AF46" s="304"/>
      <c r="AG46" s="304"/>
      <c r="AH46" s="304"/>
      <c r="AI46" s="304"/>
      <c r="AJ46" s="304"/>
      <c r="AK46" s="304"/>
      <c r="AL46" s="304"/>
      <c r="AM46" s="304"/>
      <c r="AN46" s="305">
        <f t="shared" si="3"/>
        <v>7500</v>
      </c>
      <c r="AO46" s="306">
        <v>46023</v>
      </c>
      <c r="AP46" s="306">
        <v>46387</v>
      </c>
      <c r="AQ46" s="307" t="s">
        <v>1361</v>
      </c>
    </row>
    <row r="47" spans="1:43" ht="85.5" hidden="1">
      <c r="A47" s="294">
        <v>1</v>
      </c>
      <c r="B47" s="295" t="s">
        <v>513</v>
      </c>
      <c r="C47" s="294">
        <v>41</v>
      </c>
      <c r="D47" s="296" t="s">
        <v>1354</v>
      </c>
      <c r="E47" s="297">
        <v>4104</v>
      </c>
      <c r="F47" s="298" t="s">
        <v>1390</v>
      </c>
      <c r="G47" s="294" t="s">
        <v>1413</v>
      </c>
      <c r="H47" s="298" t="s">
        <v>1414</v>
      </c>
      <c r="I47" s="294">
        <v>410400800</v>
      </c>
      <c r="J47" s="298" t="s">
        <v>1415</v>
      </c>
      <c r="K47" s="299">
        <v>7500</v>
      </c>
      <c r="L47" s="299"/>
      <c r="M47" s="299">
        <f t="shared" si="2"/>
        <v>7500</v>
      </c>
      <c r="N47" s="294">
        <v>2024003630057</v>
      </c>
      <c r="O47" s="298" t="s">
        <v>1416</v>
      </c>
      <c r="P47" s="781" t="s">
        <v>1443</v>
      </c>
      <c r="Q47" s="302">
        <v>95500000</v>
      </c>
      <c r="R47" s="301"/>
      <c r="S47" s="301"/>
      <c r="T47" s="301"/>
      <c r="U47" s="302">
        <f t="shared" si="1"/>
        <v>95500000</v>
      </c>
      <c r="V47" s="801" t="s">
        <v>1444</v>
      </c>
      <c r="W47" s="802">
        <v>6</v>
      </c>
      <c r="X47" s="803" t="s">
        <v>1432</v>
      </c>
      <c r="Y47" s="304">
        <v>3750</v>
      </c>
      <c r="Z47" s="305">
        <v>3750</v>
      </c>
      <c r="AA47" s="304"/>
      <c r="AB47" s="304"/>
      <c r="AC47" s="304"/>
      <c r="AD47" s="304">
        <v>7500</v>
      </c>
      <c r="AE47" s="304"/>
      <c r="AF47" s="304"/>
      <c r="AG47" s="304"/>
      <c r="AH47" s="304"/>
      <c r="AI47" s="304"/>
      <c r="AJ47" s="304"/>
      <c r="AK47" s="304"/>
      <c r="AL47" s="304"/>
      <c r="AM47" s="304"/>
      <c r="AN47" s="305">
        <f t="shared" si="3"/>
        <v>7500</v>
      </c>
      <c r="AO47" s="306">
        <v>46023</v>
      </c>
      <c r="AP47" s="306">
        <v>46387</v>
      </c>
      <c r="AQ47" s="307" t="s">
        <v>1361</v>
      </c>
    </row>
    <row r="48" spans="1:43" ht="85.5" hidden="1">
      <c r="A48" s="294">
        <v>1</v>
      </c>
      <c r="B48" s="295" t="s">
        <v>513</v>
      </c>
      <c r="C48" s="294">
        <v>41</v>
      </c>
      <c r="D48" s="296" t="s">
        <v>1354</v>
      </c>
      <c r="E48" s="297">
        <v>4104</v>
      </c>
      <c r="F48" s="298" t="s">
        <v>1390</v>
      </c>
      <c r="G48" s="294" t="s">
        <v>1413</v>
      </c>
      <c r="H48" s="298" t="s">
        <v>1414</v>
      </c>
      <c r="I48" s="294">
        <v>410400800</v>
      </c>
      <c r="J48" s="298" t="s">
        <v>1415</v>
      </c>
      <c r="K48" s="299">
        <v>7500</v>
      </c>
      <c r="L48" s="299"/>
      <c r="M48" s="299">
        <f t="shared" si="2"/>
        <v>7500</v>
      </c>
      <c r="N48" s="294">
        <v>2024003630057</v>
      </c>
      <c r="O48" s="298" t="s">
        <v>1416</v>
      </c>
      <c r="P48" s="781" t="s">
        <v>1445</v>
      </c>
      <c r="Q48" s="302">
        <v>205500000</v>
      </c>
      <c r="R48" s="301"/>
      <c r="S48" s="301"/>
      <c r="T48" s="301"/>
      <c r="U48" s="302">
        <f t="shared" si="1"/>
        <v>205500000</v>
      </c>
      <c r="V48" s="801" t="s">
        <v>1446</v>
      </c>
      <c r="W48" s="802">
        <v>6</v>
      </c>
      <c r="X48" s="803" t="s">
        <v>1432</v>
      </c>
      <c r="Y48" s="304">
        <v>3750</v>
      </c>
      <c r="Z48" s="305">
        <v>3750</v>
      </c>
      <c r="AA48" s="304"/>
      <c r="AB48" s="304"/>
      <c r="AC48" s="304"/>
      <c r="AD48" s="304">
        <v>7500</v>
      </c>
      <c r="AE48" s="304"/>
      <c r="AF48" s="304"/>
      <c r="AG48" s="304"/>
      <c r="AH48" s="304"/>
      <c r="AI48" s="304"/>
      <c r="AJ48" s="304"/>
      <c r="AK48" s="304"/>
      <c r="AL48" s="304"/>
      <c r="AM48" s="304"/>
      <c r="AN48" s="305">
        <f t="shared" si="3"/>
        <v>7500</v>
      </c>
      <c r="AO48" s="306">
        <v>46023</v>
      </c>
      <c r="AP48" s="306">
        <v>46387</v>
      </c>
      <c r="AQ48" s="307" t="s">
        <v>1361</v>
      </c>
    </row>
    <row r="49" spans="1:43" ht="85.5" hidden="1">
      <c r="A49" s="294">
        <v>1</v>
      </c>
      <c r="B49" s="295" t="s">
        <v>513</v>
      </c>
      <c r="C49" s="294">
        <v>41</v>
      </c>
      <c r="D49" s="296" t="s">
        <v>1354</v>
      </c>
      <c r="E49" s="297">
        <v>4104</v>
      </c>
      <c r="F49" s="298" t="s">
        <v>1390</v>
      </c>
      <c r="G49" s="294" t="s">
        <v>1413</v>
      </c>
      <c r="H49" s="298" t="s">
        <v>1414</v>
      </c>
      <c r="I49" s="294">
        <v>410400800</v>
      </c>
      <c r="J49" s="298" t="s">
        <v>1415</v>
      </c>
      <c r="K49" s="299">
        <v>7500</v>
      </c>
      <c r="L49" s="299"/>
      <c r="M49" s="299">
        <f t="shared" si="2"/>
        <v>7500</v>
      </c>
      <c r="N49" s="294">
        <v>2024003630057</v>
      </c>
      <c r="O49" s="298" t="s">
        <v>1416</v>
      </c>
      <c r="P49" s="781" t="s">
        <v>1447</v>
      </c>
      <c r="Q49" s="302">
        <v>193000000</v>
      </c>
      <c r="R49" s="301"/>
      <c r="S49" s="301"/>
      <c r="T49" s="301"/>
      <c r="U49" s="302">
        <f t="shared" si="1"/>
        <v>193000000</v>
      </c>
      <c r="V49" s="801" t="s">
        <v>1448</v>
      </c>
      <c r="W49" s="802">
        <v>6</v>
      </c>
      <c r="X49" s="803" t="s">
        <v>1432</v>
      </c>
      <c r="Y49" s="304">
        <v>3750</v>
      </c>
      <c r="Z49" s="305">
        <v>3750</v>
      </c>
      <c r="AA49" s="304"/>
      <c r="AB49" s="304"/>
      <c r="AC49" s="304"/>
      <c r="AD49" s="304">
        <v>7500</v>
      </c>
      <c r="AE49" s="304"/>
      <c r="AF49" s="304"/>
      <c r="AG49" s="304"/>
      <c r="AH49" s="304"/>
      <c r="AI49" s="304"/>
      <c r="AJ49" s="304"/>
      <c r="AK49" s="304"/>
      <c r="AL49" s="304"/>
      <c r="AM49" s="304"/>
      <c r="AN49" s="305">
        <f t="shared" si="3"/>
        <v>7500</v>
      </c>
      <c r="AO49" s="306">
        <v>46023</v>
      </c>
      <c r="AP49" s="306">
        <v>46387</v>
      </c>
      <c r="AQ49" s="307" t="s">
        <v>1361</v>
      </c>
    </row>
    <row r="50" spans="1:43" ht="85.5" hidden="1">
      <c r="A50" s="294">
        <v>1</v>
      </c>
      <c r="B50" s="295" t="s">
        <v>513</v>
      </c>
      <c r="C50" s="294">
        <v>41</v>
      </c>
      <c r="D50" s="296" t="s">
        <v>1354</v>
      </c>
      <c r="E50" s="297">
        <v>4104</v>
      </c>
      <c r="F50" s="298" t="s">
        <v>1390</v>
      </c>
      <c r="G50" s="294" t="s">
        <v>1413</v>
      </c>
      <c r="H50" s="298" t="s">
        <v>1414</v>
      </c>
      <c r="I50" s="294">
        <v>410400800</v>
      </c>
      <c r="J50" s="298" t="s">
        <v>1415</v>
      </c>
      <c r="K50" s="299">
        <v>7500</v>
      </c>
      <c r="L50" s="299"/>
      <c r="M50" s="299">
        <f t="shared" si="2"/>
        <v>7500</v>
      </c>
      <c r="N50" s="294">
        <v>2024003630057</v>
      </c>
      <c r="O50" s="298" t="s">
        <v>1416</v>
      </c>
      <c r="P50" s="781" t="s">
        <v>1449</v>
      </c>
      <c r="Q50" s="302">
        <v>95000000</v>
      </c>
      <c r="R50" s="301"/>
      <c r="S50" s="301"/>
      <c r="T50" s="301"/>
      <c r="U50" s="302">
        <f t="shared" si="1"/>
        <v>95000000</v>
      </c>
      <c r="V50" s="801" t="s">
        <v>1450</v>
      </c>
      <c r="W50" s="802">
        <v>6</v>
      </c>
      <c r="X50" s="803" t="s">
        <v>1432</v>
      </c>
      <c r="Y50" s="304">
        <v>3750</v>
      </c>
      <c r="Z50" s="305">
        <v>3750</v>
      </c>
      <c r="AA50" s="304"/>
      <c r="AB50" s="304"/>
      <c r="AC50" s="304"/>
      <c r="AD50" s="304">
        <v>7500</v>
      </c>
      <c r="AE50" s="304"/>
      <c r="AF50" s="304"/>
      <c r="AG50" s="304"/>
      <c r="AH50" s="304"/>
      <c r="AI50" s="304"/>
      <c r="AJ50" s="304"/>
      <c r="AK50" s="304"/>
      <c r="AL50" s="304"/>
      <c r="AM50" s="304"/>
      <c r="AN50" s="305">
        <f t="shared" si="3"/>
        <v>7500</v>
      </c>
      <c r="AO50" s="306">
        <v>46023</v>
      </c>
      <c r="AP50" s="306">
        <v>46387</v>
      </c>
      <c r="AQ50" s="307" t="s">
        <v>1361</v>
      </c>
    </row>
    <row r="51" spans="1:43" ht="85.5" hidden="1">
      <c r="A51" s="294">
        <v>1</v>
      </c>
      <c r="B51" s="295" t="s">
        <v>513</v>
      </c>
      <c r="C51" s="294">
        <v>41</v>
      </c>
      <c r="D51" s="296" t="s">
        <v>1354</v>
      </c>
      <c r="E51" s="297">
        <v>4104</v>
      </c>
      <c r="F51" s="298" t="s">
        <v>1390</v>
      </c>
      <c r="G51" s="294" t="s">
        <v>1413</v>
      </c>
      <c r="H51" s="298" t="s">
        <v>1414</v>
      </c>
      <c r="I51" s="294">
        <v>410400800</v>
      </c>
      <c r="J51" s="298" t="s">
        <v>1415</v>
      </c>
      <c r="K51" s="299">
        <v>7500</v>
      </c>
      <c r="L51" s="299"/>
      <c r="M51" s="299">
        <f t="shared" si="2"/>
        <v>7500</v>
      </c>
      <c r="N51" s="294">
        <v>2024003630057</v>
      </c>
      <c r="O51" s="298" t="s">
        <v>1416</v>
      </c>
      <c r="P51" s="781" t="s">
        <v>1451</v>
      </c>
      <c r="Q51" s="302">
        <v>460000000</v>
      </c>
      <c r="R51" s="301"/>
      <c r="S51" s="301"/>
      <c r="T51" s="301"/>
      <c r="U51" s="302">
        <f t="shared" si="1"/>
        <v>460000000</v>
      </c>
      <c r="V51" s="801" t="s">
        <v>1452</v>
      </c>
      <c r="W51" s="802">
        <v>6</v>
      </c>
      <c r="X51" s="803" t="s">
        <v>1432</v>
      </c>
      <c r="Y51" s="304">
        <v>3750</v>
      </c>
      <c r="Z51" s="305">
        <v>3750</v>
      </c>
      <c r="AA51" s="304"/>
      <c r="AB51" s="304"/>
      <c r="AC51" s="304"/>
      <c r="AD51" s="304">
        <v>7500</v>
      </c>
      <c r="AE51" s="304"/>
      <c r="AF51" s="304"/>
      <c r="AG51" s="304"/>
      <c r="AH51" s="304"/>
      <c r="AI51" s="304"/>
      <c r="AJ51" s="304"/>
      <c r="AK51" s="304"/>
      <c r="AL51" s="304"/>
      <c r="AM51" s="304"/>
      <c r="AN51" s="305">
        <f t="shared" si="3"/>
        <v>7500</v>
      </c>
      <c r="AO51" s="306">
        <v>46023</v>
      </c>
      <c r="AP51" s="306">
        <v>46387</v>
      </c>
      <c r="AQ51" s="307" t="s">
        <v>1361</v>
      </c>
    </row>
    <row r="52" spans="1:43" ht="85.5" hidden="1">
      <c r="A52" s="294">
        <v>1</v>
      </c>
      <c r="B52" s="295" t="s">
        <v>513</v>
      </c>
      <c r="C52" s="294">
        <v>41</v>
      </c>
      <c r="D52" s="296" t="s">
        <v>1354</v>
      </c>
      <c r="E52" s="297">
        <v>4104</v>
      </c>
      <c r="F52" s="298" t="s">
        <v>1390</v>
      </c>
      <c r="G52" s="294" t="s">
        <v>1413</v>
      </c>
      <c r="H52" s="298" t="s">
        <v>1414</v>
      </c>
      <c r="I52" s="294">
        <v>410400800</v>
      </c>
      <c r="J52" s="298" t="s">
        <v>1415</v>
      </c>
      <c r="K52" s="299">
        <v>7500</v>
      </c>
      <c r="L52" s="299"/>
      <c r="M52" s="299">
        <f t="shared" si="2"/>
        <v>7500</v>
      </c>
      <c r="N52" s="294">
        <v>2024003630057</v>
      </c>
      <c r="O52" s="298" t="s">
        <v>1416</v>
      </c>
      <c r="P52" s="781" t="s">
        <v>1453</v>
      </c>
      <c r="Q52" s="302">
        <v>200000000</v>
      </c>
      <c r="R52" s="301"/>
      <c r="S52" s="301"/>
      <c r="T52" s="301"/>
      <c r="U52" s="302">
        <f t="shared" si="1"/>
        <v>200000000</v>
      </c>
      <c r="V52" s="801" t="s">
        <v>1454</v>
      </c>
      <c r="W52" s="802">
        <v>6</v>
      </c>
      <c r="X52" s="803" t="s">
        <v>1432</v>
      </c>
      <c r="Y52" s="304">
        <v>3750</v>
      </c>
      <c r="Z52" s="305">
        <v>3750</v>
      </c>
      <c r="AA52" s="304"/>
      <c r="AB52" s="304"/>
      <c r="AC52" s="304"/>
      <c r="AD52" s="304">
        <v>7500</v>
      </c>
      <c r="AE52" s="304"/>
      <c r="AF52" s="304"/>
      <c r="AG52" s="304"/>
      <c r="AH52" s="304"/>
      <c r="AI52" s="304"/>
      <c r="AJ52" s="304"/>
      <c r="AK52" s="304"/>
      <c r="AL52" s="304"/>
      <c r="AM52" s="304"/>
      <c r="AN52" s="305">
        <f t="shared" si="3"/>
        <v>7500</v>
      </c>
      <c r="AO52" s="306">
        <v>46023</v>
      </c>
      <c r="AP52" s="306">
        <v>46387</v>
      </c>
      <c r="AQ52" s="307" t="s">
        <v>1361</v>
      </c>
    </row>
    <row r="53" spans="1:43" ht="85.5" hidden="1">
      <c r="A53" s="294">
        <v>1</v>
      </c>
      <c r="B53" s="295" t="s">
        <v>513</v>
      </c>
      <c r="C53" s="294">
        <v>41</v>
      </c>
      <c r="D53" s="296" t="s">
        <v>1354</v>
      </c>
      <c r="E53" s="297">
        <v>4104</v>
      </c>
      <c r="F53" s="298" t="s">
        <v>1390</v>
      </c>
      <c r="G53" s="294" t="s">
        <v>1413</v>
      </c>
      <c r="H53" s="298" t="s">
        <v>1414</v>
      </c>
      <c r="I53" s="294">
        <v>410400800</v>
      </c>
      <c r="J53" s="298" t="s">
        <v>1415</v>
      </c>
      <c r="K53" s="299">
        <v>7500</v>
      </c>
      <c r="L53" s="299"/>
      <c r="M53" s="299">
        <f t="shared" si="2"/>
        <v>7500</v>
      </c>
      <c r="N53" s="294">
        <v>2024003630057</v>
      </c>
      <c r="O53" s="298" t="s">
        <v>1416</v>
      </c>
      <c r="P53" s="781" t="s">
        <v>1455</v>
      </c>
      <c r="Q53" s="302">
        <v>2720052586.2399998</v>
      </c>
      <c r="R53" s="301"/>
      <c r="S53" s="301"/>
      <c r="T53" s="301"/>
      <c r="U53" s="302">
        <f t="shared" si="1"/>
        <v>2720052586.2399998</v>
      </c>
      <c r="V53" s="801" t="s">
        <v>1431</v>
      </c>
      <c r="W53" s="802">
        <v>6</v>
      </c>
      <c r="X53" s="803" t="s">
        <v>1432</v>
      </c>
      <c r="Y53" s="304">
        <v>3750</v>
      </c>
      <c r="Z53" s="305">
        <v>3750</v>
      </c>
      <c r="AA53" s="304"/>
      <c r="AB53" s="304"/>
      <c r="AC53" s="304"/>
      <c r="AD53" s="304">
        <v>7500</v>
      </c>
      <c r="AE53" s="304"/>
      <c r="AF53" s="304"/>
      <c r="AG53" s="304"/>
      <c r="AH53" s="304"/>
      <c r="AI53" s="304"/>
      <c r="AJ53" s="304"/>
      <c r="AK53" s="304"/>
      <c r="AL53" s="304"/>
      <c r="AM53" s="304"/>
      <c r="AN53" s="305">
        <f t="shared" si="3"/>
        <v>7500</v>
      </c>
      <c r="AO53" s="306">
        <v>46023</v>
      </c>
      <c r="AP53" s="306">
        <v>46387</v>
      </c>
      <c r="AQ53" s="307" t="s">
        <v>1361</v>
      </c>
    </row>
    <row r="54" spans="1:43" ht="85.5" hidden="1">
      <c r="A54" s="294">
        <v>1</v>
      </c>
      <c r="B54" s="295" t="s">
        <v>513</v>
      </c>
      <c r="C54" s="294">
        <v>41</v>
      </c>
      <c r="D54" s="296" t="s">
        <v>1354</v>
      </c>
      <c r="E54" s="297">
        <v>4104</v>
      </c>
      <c r="F54" s="298" t="s">
        <v>1390</v>
      </c>
      <c r="G54" s="294" t="s">
        <v>1413</v>
      </c>
      <c r="H54" s="298" t="s">
        <v>1414</v>
      </c>
      <c r="I54" s="294">
        <v>410400800</v>
      </c>
      <c r="J54" s="298" t="s">
        <v>1415</v>
      </c>
      <c r="K54" s="299">
        <v>7500</v>
      </c>
      <c r="L54" s="299"/>
      <c r="M54" s="299">
        <f t="shared" si="2"/>
        <v>7500</v>
      </c>
      <c r="N54" s="294">
        <v>2024003630057</v>
      </c>
      <c r="O54" s="298" t="s">
        <v>1416</v>
      </c>
      <c r="P54" s="781" t="s">
        <v>1456</v>
      </c>
      <c r="Q54" s="302">
        <v>415000000</v>
      </c>
      <c r="R54" s="301"/>
      <c r="S54" s="301"/>
      <c r="T54" s="301"/>
      <c r="U54" s="302">
        <f t="shared" si="1"/>
        <v>415000000</v>
      </c>
      <c r="V54" s="801" t="s">
        <v>1436</v>
      </c>
      <c r="W54" s="802">
        <v>6</v>
      </c>
      <c r="X54" s="803" t="s">
        <v>1432</v>
      </c>
      <c r="Y54" s="304">
        <v>3750</v>
      </c>
      <c r="Z54" s="305">
        <v>3750</v>
      </c>
      <c r="AA54" s="304"/>
      <c r="AB54" s="304"/>
      <c r="AC54" s="304"/>
      <c r="AD54" s="304">
        <v>7500</v>
      </c>
      <c r="AE54" s="304"/>
      <c r="AF54" s="304"/>
      <c r="AG54" s="304"/>
      <c r="AH54" s="304"/>
      <c r="AI54" s="304"/>
      <c r="AJ54" s="304"/>
      <c r="AK54" s="304"/>
      <c r="AL54" s="304"/>
      <c r="AM54" s="304"/>
      <c r="AN54" s="305">
        <f t="shared" si="3"/>
        <v>7500</v>
      </c>
      <c r="AO54" s="306">
        <v>46023</v>
      </c>
      <c r="AP54" s="306">
        <v>46387</v>
      </c>
      <c r="AQ54" s="307" t="s">
        <v>1361</v>
      </c>
    </row>
    <row r="55" spans="1:43" ht="85.5" hidden="1">
      <c r="A55" s="294">
        <v>1</v>
      </c>
      <c r="B55" s="295" t="s">
        <v>513</v>
      </c>
      <c r="C55" s="294">
        <v>41</v>
      </c>
      <c r="D55" s="296" t="s">
        <v>1354</v>
      </c>
      <c r="E55" s="297">
        <v>4104</v>
      </c>
      <c r="F55" s="298" t="s">
        <v>1390</v>
      </c>
      <c r="G55" s="294" t="s">
        <v>1413</v>
      </c>
      <c r="H55" s="298" t="s">
        <v>1414</v>
      </c>
      <c r="I55" s="294">
        <v>410400800</v>
      </c>
      <c r="J55" s="298" t="s">
        <v>1415</v>
      </c>
      <c r="K55" s="299">
        <v>7500</v>
      </c>
      <c r="L55" s="299"/>
      <c r="M55" s="299">
        <f t="shared" si="2"/>
        <v>7500</v>
      </c>
      <c r="N55" s="294">
        <v>2024003630057</v>
      </c>
      <c r="O55" s="298" t="s">
        <v>1416</v>
      </c>
      <c r="P55" s="781" t="s">
        <v>1457</v>
      </c>
      <c r="Q55" s="302">
        <v>420000000</v>
      </c>
      <c r="R55" s="301"/>
      <c r="S55" s="301"/>
      <c r="T55" s="301"/>
      <c r="U55" s="302">
        <f t="shared" si="1"/>
        <v>420000000</v>
      </c>
      <c r="V55" s="801" t="s">
        <v>1438</v>
      </c>
      <c r="W55" s="802">
        <v>6</v>
      </c>
      <c r="X55" s="803" t="s">
        <v>1432</v>
      </c>
      <c r="Y55" s="304">
        <v>3750</v>
      </c>
      <c r="Z55" s="305">
        <v>3750</v>
      </c>
      <c r="AA55" s="304"/>
      <c r="AB55" s="304"/>
      <c r="AC55" s="304"/>
      <c r="AD55" s="304">
        <v>7500</v>
      </c>
      <c r="AE55" s="304"/>
      <c r="AF55" s="304"/>
      <c r="AG55" s="304"/>
      <c r="AH55" s="304"/>
      <c r="AI55" s="304"/>
      <c r="AJ55" s="304"/>
      <c r="AK55" s="304"/>
      <c r="AL55" s="304"/>
      <c r="AM55" s="304"/>
      <c r="AN55" s="305">
        <f t="shared" si="3"/>
        <v>7500</v>
      </c>
      <c r="AO55" s="306">
        <v>46023</v>
      </c>
      <c r="AP55" s="306">
        <v>46387</v>
      </c>
      <c r="AQ55" s="307" t="s">
        <v>1361</v>
      </c>
    </row>
    <row r="56" spans="1:43" ht="85.5" hidden="1">
      <c r="A56" s="294">
        <v>1</v>
      </c>
      <c r="B56" s="295" t="s">
        <v>513</v>
      </c>
      <c r="C56" s="294">
        <v>41</v>
      </c>
      <c r="D56" s="296" t="s">
        <v>1354</v>
      </c>
      <c r="E56" s="297">
        <v>4104</v>
      </c>
      <c r="F56" s="298" t="s">
        <v>1390</v>
      </c>
      <c r="G56" s="294" t="s">
        <v>1413</v>
      </c>
      <c r="H56" s="298" t="s">
        <v>1414</v>
      </c>
      <c r="I56" s="294">
        <v>410400800</v>
      </c>
      <c r="J56" s="298" t="s">
        <v>1415</v>
      </c>
      <c r="K56" s="299">
        <v>7500</v>
      </c>
      <c r="L56" s="299"/>
      <c r="M56" s="299">
        <f t="shared" si="2"/>
        <v>7500</v>
      </c>
      <c r="N56" s="294">
        <v>2024003630057</v>
      </c>
      <c r="O56" s="298" t="s">
        <v>1416</v>
      </c>
      <c r="P56" s="781" t="s">
        <v>1458</v>
      </c>
      <c r="Q56" s="302">
        <v>260000000</v>
      </c>
      <c r="R56" s="301"/>
      <c r="S56" s="301"/>
      <c r="T56" s="301"/>
      <c r="U56" s="302">
        <f t="shared" si="1"/>
        <v>260000000</v>
      </c>
      <c r="V56" s="801" t="s">
        <v>1442</v>
      </c>
      <c r="W56" s="802">
        <v>6</v>
      </c>
      <c r="X56" s="803" t="s">
        <v>1432</v>
      </c>
      <c r="Y56" s="304">
        <v>3750</v>
      </c>
      <c r="Z56" s="305">
        <v>3750</v>
      </c>
      <c r="AA56" s="304"/>
      <c r="AB56" s="304"/>
      <c r="AC56" s="304"/>
      <c r="AD56" s="304">
        <v>7500</v>
      </c>
      <c r="AE56" s="304"/>
      <c r="AF56" s="304"/>
      <c r="AG56" s="304"/>
      <c r="AH56" s="304"/>
      <c r="AI56" s="304"/>
      <c r="AJ56" s="304"/>
      <c r="AK56" s="304"/>
      <c r="AL56" s="304"/>
      <c r="AM56" s="304"/>
      <c r="AN56" s="305">
        <f t="shared" si="3"/>
        <v>7500</v>
      </c>
      <c r="AO56" s="306">
        <v>46023</v>
      </c>
      <c r="AP56" s="306">
        <v>46387</v>
      </c>
      <c r="AQ56" s="307" t="s">
        <v>1361</v>
      </c>
    </row>
    <row r="57" spans="1:43" ht="85.5" hidden="1">
      <c r="A57" s="294">
        <v>1</v>
      </c>
      <c r="B57" s="295" t="s">
        <v>513</v>
      </c>
      <c r="C57" s="294">
        <v>41</v>
      </c>
      <c r="D57" s="296" t="s">
        <v>1354</v>
      </c>
      <c r="E57" s="297">
        <v>4104</v>
      </c>
      <c r="F57" s="298" t="s">
        <v>1390</v>
      </c>
      <c r="G57" s="294" t="s">
        <v>1413</v>
      </c>
      <c r="H57" s="298" t="s">
        <v>1414</v>
      </c>
      <c r="I57" s="294">
        <v>410400800</v>
      </c>
      <c r="J57" s="298" t="s">
        <v>1415</v>
      </c>
      <c r="K57" s="299">
        <v>7500</v>
      </c>
      <c r="L57" s="299"/>
      <c r="M57" s="299">
        <f t="shared" si="2"/>
        <v>7500</v>
      </c>
      <c r="N57" s="294">
        <v>2024003630057</v>
      </c>
      <c r="O57" s="298" t="s">
        <v>1416</v>
      </c>
      <c r="P57" s="781" t="s">
        <v>1459</v>
      </c>
      <c r="Q57" s="302">
        <v>389500000</v>
      </c>
      <c r="R57" s="301"/>
      <c r="S57" s="301"/>
      <c r="T57" s="301"/>
      <c r="U57" s="302">
        <f t="shared" si="1"/>
        <v>389500000</v>
      </c>
      <c r="V57" s="801" t="s">
        <v>1444</v>
      </c>
      <c r="W57" s="802">
        <v>6</v>
      </c>
      <c r="X57" s="803" t="s">
        <v>1432</v>
      </c>
      <c r="Y57" s="304">
        <v>3750</v>
      </c>
      <c r="Z57" s="305">
        <v>3750</v>
      </c>
      <c r="AA57" s="304"/>
      <c r="AB57" s="304"/>
      <c r="AC57" s="304"/>
      <c r="AD57" s="304">
        <v>7500</v>
      </c>
      <c r="AE57" s="304"/>
      <c r="AF57" s="304"/>
      <c r="AG57" s="304"/>
      <c r="AH57" s="304"/>
      <c r="AI57" s="304"/>
      <c r="AJ57" s="304"/>
      <c r="AK57" s="304"/>
      <c r="AL57" s="304"/>
      <c r="AM57" s="304"/>
      <c r="AN57" s="305">
        <f t="shared" si="3"/>
        <v>7500</v>
      </c>
      <c r="AO57" s="306">
        <v>46023</v>
      </c>
      <c r="AP57" s="306">
        <v>46387</v>
      </c>
      <c r="AQ57" s="307" t="s">
        <v>1361</v>
      </c>
    </row>
    <row r="58" spans="1:43" ht="85.5" hidden="1">
      <c r="A58" s="294">
        <v>1</v>
      </c>
      <c r="B58" s="295" t="s">
        <v>513</v>
      </c>
      <c r="C58" s="294">
        <v>41</v>
      </c>
      <c r="D58" s="296" t="s">
        <v>1354</v>
      </c>
      <c r="E58" s="297">
        <v>4104</v>
      </c>
      <c r="F58" s="298" t="s">
        <v>1390</v>
      </c>
      <c r="G58" s="294" t="s">
        <v>1413</v>
      </c>
      <c r="H58" s="298" t="s">
        <v>1414</v>
      </c>
      <c r="I58" s="294">
        <v>410400800</v>
      </c>
      <c r="J58" s="298" t="s">
        <v>1415</v>
      </c>
      <c r="K58" s="299">
        <v>7500</v>
      </c>
      <c r="L58" s="299"/>
      <c r="M58" s="299">
        <f t="shared" si="2"/>
        <v>7500</v>
      </c>
      <c r="N58" s="294">
        <v>2024003630057</v>
      </c>
      <c r="O58" s="298" t="s">
        <v>1416</v>
      </c>
      <c r="P58" s="781" t="s">
        <v>1460</v>
      </c>
      <c r="Q58" s="302">
        <v>1152000000</v>
      </c>
      <c r="R58" s="301"/>
      <c r="S58" s="301"/>
      <c r="T58" s="301"/>
      <c r="U58" s="302">
        <f t="shared" si="1"/>
        <v>1152000000</v>
      </c>
      <c r="V58" s="801" t="s">
        <v>1448</v>
      </c>
      <c r="W58" s="802">
        <v>6</v>
      </c>
      <c r="X58" s="803" t="s">
        <v>1432</v>
      </c>
      <c r="Y58" s="304">
        <v>3750</v>
      </c>
      <c r="Z58" s="305">
        <v>3750</v>
      </c>
      <c r="AA58" s="304"/>
      <c r="AB58" s="304"/>
      <c r="AC58" s="304"/>
      <c r="AD58" s="304">
        <v>7500</v>
      </c>
      <c r="AE58" s="304"/>
      <c r="AF58" s="304"/>
      <c r="AG58" s="304"/>
      <c r="AH58" s="304"/>
      <c r="AI58" s="304"/>
      <c r="AJ58" s="304"/>
      <c r="AK58" s="304"/>
      <c r="AL58" s="304"/>
      <c r="AM58" s="304"/>
      <c r="AN58" s="305">
        <f t="shared" si="3"/>
        <v>7500</v>
      </c>
      <c r="AO58" s="306">
        <v>46023</v>
      </c>
      <c r="AP58" s="306">
        <v>46387</v>
      </c>
      <c r="AQ58" s="307" t="s">
        <v>1361</v>
      </c>
    </row>
    <row r="59" spans="1:43" ht="85.5" hidden="1">
      <c r="A59" s="294">
        <v>1</v>
      </c>
      <c r="B59" s="295" t="s">
        <v>513</v>
      </c>
      <c r="C59" s="294">
        <v>41</v>
      </c>
      <c r="D59" s="296" t="s">
        <v>1354</v>
      </c>
      <c r="E59" s="297">
        <v>4104</v>
      </c>
      <c r="F59" s="298" t="s">
        <v>1390</v>
      </c>
      <c r="G59" s="294" t="s">
        <v>1413</v>
      </c>
      <c r="H59" s="298" t="s">
        <v>1414</v>
      </c>
      <c r="I59" s="294">
        <v>410400800</v>
      </c>
      <c r="J59" s="298" t="s">
        <v>1415</v>
      </c>
      <c r="K59" s="299">
        <v>7500</v>
      </c>
      <c r="L59" s="299"/>
      <c r="M59" s="299">
        <f t="shared" si="2"/>
        <v>7500</v>
      </c>
      <c r="N59" s="294">
        <v>2024003630057</v>
      </c>
      <c r="O59" s="298" t="s">
        <v>1416</v>
      </c>
      <c r="P59" s="781" t="s">
        <v>1461</v>
      </c>
      <c r="Q59" s="302">
        <v>488500000</v>
      </c>
      <c r="R59" s="301"/>
      <c r="S59" s="301"/>
      <c r="T59" s="301"/>
      <c r="U59" s="302">
        <f t="shared" si="1"/>
        <v>488500000</v>
      </c>
      <c r="V59" s="801" t="s">
        <v>1452</v>
      </c>
      <c r="W59" s="802">
        <v>6</v>
      </c>
      <c r="X59" s="803" t="s">
        <v>1432</v>
      </c>
      <c r="Y59" s="304">
        <v>3750</v>
      </c>
      <c r="Z59" s="305">
        <v>3750</v>
      </c>
      <c r="AA59" s="304"/>
      <c r="AB59" s="304"/>
      <c r="AC59" s="304"/>
      <c r="AD59" s="304">
        <v>7500</v>
      </c>
      <c r="AE59" s="304"/>
      <c r="AF59" s="304"/>
      <c r="AG59" s="304"/>
      <c r="AH59" s="304"/>
      <c r="AI59" s="304"/>
      <c r="AJ59" s="304"/>
      <c r="AK59" s="304"/>
      <c r="AL59" s="304"/>
      <c r="AM59" s="304"/>
      <c r="AN59" s="305">
        <f t="shared" si="3"/>
        <v>7500</v>
      </c>
      <c r="AO59" s="306">
        <v>46023</v>
      </c>
      <c r="AP59" s="306">
        <v>46387</v>
      </c>
      <c r="AQ59" s="307" t="s">
        <v>1361</v>
      </c>
    </row>
    <row r="60" spans="1:43" ht="85.5" hidden="1">
      <c r="A60" s="294">
        <v>1</v>
      </c>
      <c r="B60" s="295" t="s">
        <v>513</v>
      </c>
      <c r="C60" s="294">
        <v>41</v>
      </c>
      <c r="D60" s="296" t="s">
        <v>1354</v>
      </c>
      <c r="E60" s="297">
        <v>4104</v>
      </c>
      <c r="F60" s="298" t="s">
        <v>1390</v>
      </c>
      <c r="G60" s="294" t="s">
        <v>1413</v>
      </c>
      <c r="H60" s="298" t="s">
        <v>1414</v>
      </c>
      <c r="I60" s="294">
        <v>410400800</v>
      </c>
      <c r="J60" s="298" t="s">
        <v>1415</v>
      </c>
      <c r="K60" s="299">
        <v>7500</v>
      </c>
      <c r="L60" s="299"/>
      <c r="M60" s="299">
        <f t="shared" si="2"/>
        <v>7500</v>
      </c>
      <c r="N60" s="294">
        <v>2024003630057</v>
      </c>
      <c r="O60" s="298" t="s">
        <v>1416</v>
      </c>
      <c r="P60" s="781" t="s">
        <v>1462</v>
      </c>
      <c r="Q60" s="302">
        <v>246000000</v>
      </c>
      <c r="R60" s="301"/>
      <c r="S60" s="301"/>
      <c r="T60" s="301"/>
      <c r="U60" s="302">
        <f t="shared" si="1"/>
        <v>246000000</v>
      </c>
      <c r="V60" s="801" t="s">
        <v>1446</v>
      </c>
      <c r="W60" s="802">
        <v>6</v>
      </c>
      <c r="X60" s="803" t="s">
        <v>1432</v>
      </c>
      <c r="Y60" s="304">
        <v>3750</v>
      </c>
      <c r="Z60" s="305">
        <v>3750</v>
      </c>
      <c r="AA60" s="304"/>
      <c r="AB60" s="304"/>
      <c r="AC60" s="304"/>
      <c r="AD60" s="304">
        <v>7500</v>
      </c>
      <c r="AE60" s="304"/>
      <c r="AF60" s="304"/>
      <c r="AG60" s="304"/>
      <c r="AH60" s="304"/>
      <c r="AI60" s="304"/>
      <c r="AJ60" s="304"/>
      <c r="AK60" s="304"/>
      <c r="AL60" s="304"/>
      <c r="AM60" s="304"/>
      <c r="AN60" s="305">
        <f t="shared" si="3"/>
        <v>7500</v>
      </c>
      <c r="AO60" s="306">
        <v>46023</v>
      </c>
      <c r="AP60" s="306">
        <v>46387</v>
      </c>
      <c r="AQ60" s="307" t="s">
        <v>1361</v>
      </c>
    </row>
    <row r="61" spans="1:43" ht="85.5" hidden="1">
      <c r="A61" s="294">
        <v>1</v>
      </c>
      <c r="B61" s="295" t="s">
        <v>513</v>
      </c>
      <c r="C61" s="294">
        <v>41</v>
      </c>
      <c r="D61" s="296" t="s">
        <v>1354</v>
      </c>
      <c r="E61" s="297">
        <v>4104</v>
      </c>
      <c r="F61" s="298" t="s">
        <v>1390</v>
      </c>
      <c r="G61" s="294">
        <v>4104007</v>
      </c>
      <c r="H61" s="298" t="s">
        <v>1463</v>
      </c>
      <c r="I61" s="294">
        <v>410400700</v>
      </c>
      <c r="J61" s="298" t="s">
        <v>1463</v>
      </c>
      <c r="K61" s="299">
        <v>4</v>
      </c>
      <c r="L61" s="299"/>
      <c r="M61" s="299">
        <f t="shared" si="2"/>
        <v>4</v>
      </c>
      <c r="N61" s="294">
        <v>2024003630057</v>
      </c>
      <c r="O61" s="298" t="s">
        <v>1416</v>
      </c>
      <c r="P61" s="781" t="s">
        <v>1464</v>
      </c>
      <c r="Q61" s="302">
        <v>15000000</v>
      </c>
      <c r="R61" s="301"/>
      <c r="S61" s="301"/>
      <c r="T61" s="301"/>
      <c r="U61" s="302">
        <f t="shared" si="1"/>
        <v>15000000</v>
      </c>
      <c r="V61" s="303" t="s">
        <v>1465</v>
      </c>
      <c r="W61" s="294">
        <v>20</v>
      </c>
      <c r="X61" s="300" t="s">
        <v>67</v>
      </c>
      <c r="Y61" s="304">
        <v>3750</v>
      </c>
      <c r="Z61" s="305">
        <v>3750</v>
      </c>
      <c r="AA61" s="304"/>
      <c r="AB61" s="304"/>
      <c r="AC61" s="304"/>
      <c r="AD61" s="304">
        <v>7500</v>
      </c>
      <c r="AE61" s="304"/>
      <c r="AF61" s="304"/>
      <c r="AG61" s="304"/>
      <c r="AH61" s="304"/>
      <c r="AI61" s="304"/>
      <c r="AJ61" s="304"/>
      <c r="AK61" s="304"/>
      <c r="AL61" s="304"/>
      <c r="AM61" s="304"/>
      <c r="AN61" s="305">
        <f t="shared" si="3"/>
        <v>7500</v>
      </c>
      <c r="AO61" s="306">
        <v>46023</v>
      </c>
      <c r="AP61" s="306">
        <v>46387</v>
      </c>
      <c r="AQ61" s="307" t="s">
        <v>1361</v>
      </c>
    </row>
    <row r="62" spans="1:43" ht="85.5" hidden="1">
      <c r="A62" s="294">
        <v>1</v>
      </c>
      <c r="B62" s="295" t="s">
        <v>513</v>
      </c>
      <c r="C62" s="294">
        <v>41</v>
      </c>
      <c r="D62" s="296" t="s">
        <v>1354</v>
      </c>
      <c r="E62" s="297">
        <v>4104</v>
      </c>
      <c r="F62" s="298" t="s">
        <v>1390</v>
      </c>
      <c r="G62" s="294" t="s">
        <v>1466</v>
      </c>
      <c r="H62" s="298" t="s">
        <v>1467</v>
      </c>
      <c r="I62" s="294">
        <v>410401400</v>
      </c>
      <c r="J62" s="298" t="s">
        <v>1468</v>
      </c>
      <c r="K62" s="299">
        <v>4</v>
      </c>
      <c r="L62" s="299"/>
      <c r="M62" s="299">
        <f t="shared" si="2"/>
        <v>4</v>
      </c>
      <c r="N62" s="294">
        <v>2024003630057</v>
      </c>
      <c r="O62" s="298" t="s">
        <v>1416</v>
      </c>
      <c r="P62" s="781" t="s">
        <v>1469</v>
      </c>
      <c r="Q62" s="302">
        <v>15000000</v>
      </c>
      <c r="R62" s="301"/>
      <c r="S62" s="301"/>
      <c r="T62" s="301"/>
      <c r="U62" s="302">
        <f t="shared" si="1"/>
        <v>15000000</v>
      </c>
      <c r="V62" s="303" t="s">
        <v>1470</v>
      </c>
      <c r="W62" s="294">
        <v>20</v>
      </c>
      <c r="X62" s="300" t="s">
        <v>67</v>
      </c>
      <c r="Y62" s="304">
        <v>3750</v>
      </c>
      <c r="Z62" s="305">
        <v>3750</v>
      </c>
      <c r="AA62" s="304"/>
      <c r="AB62" s="304"/>
      <c r="AC62" s="304"/>
      <c r="AD62" s="304">
        <v>7500</v>
      </c>
      <c r="AE62" s="304"/>
      <c r="AF62" s="304"/>
      <c r="AG62" s="304"/>
      <c r="AH62" s="304"/>
      <c r="AI62" s="304"/>
      <c r="AJ62" s="304"/>
      <c r="AK62" s="304"/>
      <c r="AL62" s="304"/>
      <c r="AM62" s="304"/>
      <c r="AN62" s="305">
        <f t="shared" si="3"/>
        <v>7500</v>
      </c>
      <c r="AO62" s="306">
        <v>46023</v>
      </c>
      <c r="AP62" s="306">
        <v>46387</v>
      </c>
      <c r="AQ62" s="307" t="s">
        <v>1361</v>
      </c>
    </row>
    <row r="63" spans="1:43" ht="86.25" hidden="1">
      <c r="A63" s="294">
        <v>1</v>
      </c>
      <c r="B63" s="295" t="s">
        <v>513</v>
      </c>
      <c r="C63" s="294">
        <v>41</v>
      </c>
      <c r="D63" s="296" t="s">
        <v>1354</v>
      </c>
      <c r="E63" s="297">
        <v>4104</v>
      </c>
      <c r="F63" s="298" t="s">
        <v>1390</v>
      </c>
      <c r="G63" s="292">
        <v>4104027</v>
      </c>
      <c r="H63" s="298" t="s">
        <v>1471</v>
      </c>
      <c r="I63" s="292">
        <v>410402700</v>
      </c>
      <c r="J63" s="796" t="s">
        <v>1472</v>
      </c>
      <c r="K63" s="299">
        <v>300</v>
      </c>
      <c r="L63" s="299"/>
      <c r="M63" s="299">
        <f t="shared" si="2"/>
        <v>300</v>
      </c>
      <c r="N63" s="294">
        <v>2024003630063</v>
      </c>
      <c r="O63" s="298" t="s">
        <v>1473</v>
      </c>
      <c r="P63" s="298" t="s">
        <v>1474</v>
      </c>
      <c r="Q63" s="302">
        <v>155149000</v>
      </c>
      <c r="R63" s="301">
        <f>3000000+7400000+14800000</f>
        <v>25200000</v>
      </c>
      <c r="S63" s="301"/>
      <c r="T63" s="301"/>
      <c r="U63" s="302">
        <f t="shared" si="1"/>
        <v>155149000</v>
      </c>
      <c r="V63" s="784" t="s">
        <v>1475</v>
      </c>
      <c r="W63" s="294">
        <v>20</v>
      </c>
      <c r="X63" s="300" t="s">
        <v>67</v>
      </c>
      <c r="Y63" s="304">
        <v>360</v>
      </c>
      <c r="Z63" s="305">
        <v>840</v>
      </c>
      <c r="AA63" s="304"/>
      <c r="AB63" s="304"/>
      <c r="AC63" s="304"/>
      <c r="AD63" s="304"/>
      <c r="AE63" s="304"/>
      <c r="AF63" s="304"/>
      <c r="AG63" s="304"/>
      <c r="AH63" s="304"/>
      <c r="AI63" s="304"/>
      <c r="AJ63" s="304"/>
      <c r="AK63" s="304"/>
      <c r="AL63" s="304"/>
      <c r="AM63" s="304"/>
      <c r="AN63" s="305">
        <f t="shared" si="3"/>
        <v>1200</v>
      </c>
      <c r="AO63" s="306">
        <v>46023</v>
      </c>
      <c r="AP63" s="306">
        <v>46387</v>
      </c>
      <c r="AQ63" s="307" t="s">
        <v>1361</v>
      </c>
    </row>
    <row r="64" spans="1:43" ht="85.5" hidden="1">
      <c r="A64" s="294">
        <v>1</v>
      </c>
      <c r="B64" s="295" t="s">
        <v>513</v>
      </c>
      <c r="C64" s="294">
        <v>41</v>
      </c>
      <c r="D64" s="296" t="s">
        <v>1354</v>
      </c>
      <c r="E64" s="297">
        <v>4104</v>
      </c>
      <c r="F64" s="298" t="s">
        <v>1390</v>
      </c>
      <c r="G64" s="292">
        <v>4104027</v>
      </c>
      <c r="H64" s="298" t="s">
        <v>1471</v>
      </c>
      <c r="I64" s="292">
        <v>410402700</v>
      </c>
      <c r="J64" s="796" t="s">
        <v>1472</v>
      </c>
      <c r="K64" s="299">
        <v>300</v>
      </c>
      <c r="L64" s="299"/>
      <c r="M64" s="299">
        <f t="shared" si="2"/>
        <v>300</v>
      </c>
      <c r="N64" s="294">
        <v>2024003630063</v>
      </c>
      <c r="O64" s="298" t="s">
        <v>1473</v>
      </c>
      <c r="P64" s="877" t="s">
        <v>1476</v>
      </c>
      <c r="Q64" s="302">
        <v>5000000</v>
      </c>
      <c r="R64" s="301"/>
      <c r="S64" s="301"/>
      <c r="T64" s="301"/>
      <c r="U64" s="302">
        <f t="shared" si="1"/>
        <v>5000000</v>
      </c>
      <c r="V64" s="784" t="s">
        <v>1477</v>
      </c>
      <c r="W64" s="294">
        <v>20</v>
      </c>
      <c r="X64" s="300" t="s">
        <v>67</v>
      </c>
      <c r="Y64" s="304">
        <v>360</v>
      </c>
      <c r="Z64" s="305">
        <v>840</v>
      </c>
      <c r="AA64" s="304"/>
      <c r="AB64" s="304"/>
      <c r="AC64" s="304"/>
      <c r="AD64" s="304"/>
      <c r="AE64" s="304"/>
      <c r="AF64" s="304"/>
      <c r="AG64" s="304"/>
      <c r="AH64" s="304"/>
      <c r="AI64" s="304"/>
      <c r="AJ64" s="304"/>
      <c r="AK64" s="304"/>
      <c r="AL64" s="304"/>
      <c r="AM64" s="304"/>
      <c r="AN64" s="305">
        <f t="shared" si="3"/>
        <v>1200</v>
      </c>
      <c r="AO64" s="306">
        <v>46023</v>
      </c>
      <c r="AP64" s="306">
        <v>46387</v>
      </c>
      <c r="AQ64" s="307" t="s">
        <v>1361</v>
      </c>
    </row>
    <row r="65" spans="1:43" ht="85.5" hidden="1">
      <c r="A65" s="294">
        <v>1</v>
      </c>
      <c r="B65" s="295" t="s">
        <v>513</v>
      </c>
      <c r="C65" s="294">
        <v>41</v>
      </c>
      <c r="D65" s="296" t="s">
        <v>1354</v>
      </c>
      <c r="E65" s="297">
        <v>4104</v>
      </c>
      <c r="F65" s="298" t="s">
        <v>1390</v>
      </c>
      <c r="G65" s="292">
        <v>4104027</v>
      </c>
      <c r="H65" s="298" t="s">
        <v>1471</v>
      </c>
      <c r="I65" s="292">
        <v>410402700</v>
      </c>
      <c r="J65" s="796" t="s">
        <v>1472</v>
      </c>
      <c r="K65" s="299">
        <v>300</v>
      </c>
      <c r="L65" s="299"/>
      <c r="M65" s="299">
        <f t="shared" si="2"/>
        <v>300</v>
      </c>
      <c r="N65" s="294">
        <v>2024003630063</v>
      </c>
      <c r="O65" s="298" t="s">
        <v>1473</v>
      </c>
      <c r="P65" s="877" t="s">
        <v>1478</v>
      </c>
      <c r="Q65" s="302">
        <v>3500000</v>
      </c>
      <c r="R65" s="301"/>
      <c r="S65" s="301"/>
      <c r="T65" s="301"/>
      <c r="U65" s="302">
        <f t="shared" si="1"/>
        <v>3500000</v>
      </c>
      <c r="V65" s="784" t="s">
        <v>1479</v>
      </c>
      <c r="W65" s="294">
        <v>20</v>
      </c>
      <c r="X65" s="300" t="s">
        <v>67</v>
      </c>
      <c r="Y65" s="304">
        <v>360</v>
      </c>
      <c r="Z65" s="305">
        <v>840</v>
      </c>
      <c r="AA65" s="304"/>
      <c r="AB65" s="304"/>
      <c r="AC65" s="304"/>
      <c r="AD65" s="304"/>
      <c r="AE65" s="304"/>
      <c r="AF65" s="304"/>
      <c r="AG65" s="304"/>
      <c r="AH65" s="304"/>
      <c r="AI65" s="304"/>
      <c r="AJ65" s="304"/>
      <c r="AK65" s="304"/>
      <c r="AL65" s="304"/>
      <c r="AM65" s="304"/>
      <c r="AN65" s="305">
        <f t="shared" si="3"/>
        <v>1200</v>
      </c>
      <c r="AO65" s="306">
        <v>46023</v>
      </c>
      <c r="AP65" s="306">
        <v>46387</v>
      </c>
      <c r="AQ65" s="307" t="s">
        <v>1361</v>
      </c>
    </row>
    <row r="66" spans="1:43" ht="71.25" hidden="1">
      <c r="A66" s="294">
        <v>1</v>
      </c>
      <c r="B66" s="295" t="s">
        <v>513</v>
      </c>
      <c r="C66" s="294">
        <v>41</v>
      </c>
      <c r="D66" s="296" t="s">
        <v>1354</v>
      </c>
      <c r="E66" s="297">
        <v>4103</v>
      </c>
      <c r="F66" s="298" t="s">
        <v>318</v>
      </c>
      <c r="G66" s="292">
        <v>4103060</v>
      </c>
      <c r="H66" s="298" t="s">
        <v>1480</v>
      </c>
      <c r="I66" s="292">
        <v>410306000</v>
      </c>
      <c r="J66" s="796" t="s">
        <v>730</v>
      </c>
      <c r="K66" s="299">
        <v>7</v>
      </c>
      <c r="L66" s="299"/>
      <c r="M66" s="299">
        <f t="shared" si="2"/>
        <v>7</v>
      </c>
      <c r="N66" s="294">
        <v>2024003630064</v>
      </c>
      <c r="O66" s="298" t="s">
        <v>1481</v>
      </c>
      <c r="P66" s="298" t="s">
        <v>1482</v>
      </c>
      <c r="Q66" s="302">
        <v>60324500</v>
      </c>
      <c r="R66" s="301"/>
      <c r="S66" s="301"/>
      <c r="T66" s="301"/>
      <c r="U66" s="302">
        <f t="shared" si="1"/>
        <v>60324500</v>
      </c>
      <c r="V66" s="804" t="s">
        <v>1483</v>
      </c>
      <c r="W66" s="294">
        <v>20</v>
      </c>
      <c r="X66" s="300" t="s">
        <v>67</v>
      </c>
      <c r="Y66" s="304">
        <v>375</v>
      </c>
      <c r="Z66" s="305" t="s">
        <v>1484</v>
      </c>
      <c r="AA66" s="304"/>
      <c r="AB66" s="304"/>
      <c r="AC66" s="304"/>
      <c r="AD66" s="304"/>
      <c r="AE66" s="304">
        <v>750</v>
      </c>
      <c r="AF66" s="304"/>
      <c r="AG66" s="304"/>
      <c r="AH66" s="304"/>
      <c r="AI66" s="304"/>
      <c r="AJ66" s="304"/>
      <c r="AK66" s="304"/>
      <c r="AL66" s="304"/>
      <c r="AM66" s="304"/>
      <c r="AN66" s="305">
        <f t="shared" si="3"/>
        <v>750</v>
      </c>
      <c r="AO66" s="306">
        <v>46023</v>
      </c>
      <c r="AP66" s="306">
        <v>46387</v>
      </c>
      <c r="AQ66" s="307" t="s">
        <v>1361</v>
      </c>
    </row>
    <row r="67" spans="1:43" ht="71.25" hidden="1">
      <c r="A67" s="294">
        <v>1</v>
      </c>
      <c r="B67" s="295" t="s">
        <v>513</v>
      </c>
      <c r="C67" s="294">
        <v>41</v>
      </c>
      <c r="D67" s="296" t="s">
        <v>1354</v>
      </c>
      <c r="E67" s="297">
        <v>4103</v>
      </c>
      <c r="F67" s="298" t="s">
        <v>318</v>
      </c>
      <c r="G67" s="292">
        <v>4103060</v>
      </c>
      <c r="H67" s="298" t="s">
        <v>1480</v>
      </c>
      <c r="I67" s="292">
        <v>410306000</v>
      </c>
      <c r="J67" s="796" t="s">
        <v>730</v>
      </c>
      <c r="K67" s="299">
        <v>7</v>
      </c>
      <c r="L67" s="299"/>
      <c r="M67" s="299">
        <f t="shared" si="2"/>
        <v>7</v>
      </c>
      <c r="N67" s="294">
        <v>2024003630064</v>
      </c>
      <c r="O67" s="298" t="s">
        <v>1481</v>
      </c>
      <c r="P67" s="298" t="s">
        <v>1485</v>
      </c>
      <c r="Q67" s="302">
        <v>60324500</v>
      </c>
      <c r="R67" s="301"/>
      <c r="S67" s="301"/>
      <c r="T67" s="301"/>
      <c r="U67" s="302">
        <f t="shared" si="1"/>
        <v>60324500</v>
      </c>
      <c r="V67" s="804" t="s">
        <v>1483</v>
      </c>
      <c r="W67" s="294">
        <v>20</v>
      </c>
      <c r="X67" s="300" t="s">
        <v>67</v>
      </c>
      <c r="Y67" s="304">
        <v>375</v>
      </c>
      <c r="Z67" s="305" t="s">
        <v>1484</v>
      </c>
      <c r="AA67" s="304"/>
      <c r="AB67" s="304"/>
      <c r="AC67" s="304"/>
      <c r="AD67" s="304"/>
      <c r="AE67" s="304">
        <v>750</v>
      </c>
      <c r="AF67" s="304"/>
      <c r="AG67" s="304"/>
      <c r="AH67" s="304"/>
      <c r="AI67" s="304"/>
      <c r="AJ67" s="304"/>
      <c r="AK67" s="304"/>
      <c r="AL67" s="304"/>
      <c r="AM67" s="304"/>
      <c r="AN67" s="305">
        <f t="shared" si="3"/>
        <v>750</v>
      </c>
      <c r="AO67" s="306">
        <v>46023</v>
      </c>
      <c r="AP67" s="306">
        <v>46387</v>
      </c>
      <c r="AQ67" s="307" t="s">
        <v>1361</v>
      </c>
    </row>
    <row r="68" spans="1:43" ht="71.25" hidden="1">
      <c r="A68" s="294">
        <v>1</v>
      </c>
      <c r="B68" s="295" t="s">
        <v>513</v>
      </c>
      <c r="C68" s="294">
        <v>41</v>
      </c>
      <c r="D68" s="296" t="s">
        <v>1354</v>
      </c>
      <c r="E68" s="297">
        <v>4103</v>
      </c>
      <c r="F68" s="298" t="s">
        <v>318</v>
      </c>
      <c r="G68" s="292">
        <v>4103060</v>
      </c>
      <c r="H68" s="298" t="s">
        <v>1480</v>
      </c>
      <c r="I68" s="292">
        <v>410306000</v>
      </c>
      <c r="J68" s="796" t="s">
        <v>730</v>
      </c>
      <c r="K68" s="299">
        <v>7</v>
      </c>
      <c r="L68" s="299"/>
      <c r="M68" s="299">
        <f t="shared" si="2"/>
        <v>7</v>
      </c>
      <c r="N68" s="294">
        <v>2024003630064</v>
      </c>
      <c r="O68" s="298" t="s">
        <v>1481</v>
      </c>
      <c r="P68" s="298" t="s">
        <v>1486</v>
      </c>
      <c r="Q68" s="302">
        <v>3000000</v>
      </c>
      <c r="R68" s="301"/>
      <c r="S68" s="301"/>
      <c r="T68" s="301"/>
      <c r="U68" s="302">
        <f t="shared" si="1"/>
        <v>3000000</v>
      </c>
      <c r="V68" s="804" t="s">
        <v>1487</v>
      </c>
      <c r="W68" s="294">
        <v>20</v>
      </c>
      <c r="X68" s="300" t="s">
        <v>67</v>
      </c>
      <c r="Y68" s="304">
        <v>375</v>
      </c>
      <c r="Z68" s="305" t="s">
        <v>1484</v>
      </c>
      <c r="AA68" s="304"/>
      <c r="AB68" s="304"/>
      <c r="AC68" s="304"/>
      <c r="AD68" s="304"/>
      <c r="AE68" s="304">
        <v>750</v>
      </c>
      <c r="AF68" s="304"/>
      <c r="AG68" s="304"/>
      <c r="AH68" s="304"/>
      <c r="AI68" s="304"/>
      <c r="AJ68" s="304"/>
      <c r="AK68" s="304"/>
      <c r="AL68" s="304"/>
      <c r="AM68" s="304"/>
      <c r="AN68" s="305">
        <f t="shared" si="3"/>
        <v>750</v>
      </c>
      <c r="AO68" s="306">
        <v>46023</v>
      </c>
      <c r="AP68" s="306">
        <v>46387</v>
      </c>
      <c r="AQ68" s="307" t="s">
        <v>1361</v>
      </c>
    </row>
    <row r="69" spans="1:43" ht="71.25" hidden="1">
      <c r="A69" s="294">
        <v>1</v>
      </c>
      <c r="B69" s="295" t="s">
        <v>513</v>
      </c>
      <c r="C69" s="294">
        <v>41</v>
      </c>
      <c r="D69" s="296" t="s">
        <v>1354</v>
      </c>
      <c r="E69" s="297">
        <v>4103</v>
      </c>
      <c r="F69" s="298" t="s">
        <v>318</v>
      </c>
      <c r="G69" s="292">
        <v>4103060</v>
      </c>
      <c r="H69" s="298" t="s">
        <v>1480</v>
      </c>
      <c r="I69" s="292">
        <v>410306000</v>
      </c>
      <c r="J69" s="796" t="s">
        <v>730</v>
      </c>
      <c r="K69" s="299">
        <v>7</v>
      </c>
      <c r="L69" s="299"/>
      <c r="M69" s="299">
        <f t="shared" si="2"/>
        <v>7</v>
      </c>
      <c r="N69" s="294">
        <v>2024003630064</v>
      </c>
      <c r="O69" s="298" t="s">
        <v>1481</v>
      </c>
      <c r="P69" s="877" t="s">
        <v>1488</v>
      </c>
      <c r="Q69" s="302">
        <v>5000000</v>
      </c>
      <c r="R69" s="301"/>
      <c r="S69" s="301"/>
      <c r="T69" s="301"/>
      <c r="U69" s="302">
        <f t="shared" si="1"/>
        <v>5000000</v>
      </c>
      <c r="V69" s="804" t="s">
        <v>1487</v>
      </c>
      <c r="W69" s="294">
        <v>20</v>
      </c>
      <c r="X69" s="300" t="s">
        <v>67</v>
      </c>
      <c r="Y69" s="304">
        <v>375</v>
      </c>
      <c r="Z69" s="305" t="s">
        <v>1484</v>
      </c>
      <c r="AA69" s="304"/>
      <c r="AB69" s="304"/>
      <c r="AC69" s="304"/>
      <c r="AD69" s="304"/>
      <c r="AE69" s="304">
        <v>750</v>
      </c>
      <c r="AF69" s="304"/>
      <c r="AG69" s="304"/>
      <c r="AH69" s="304"/>
      <c r="AI69" s="304"/>
      <c r="AJ69" s="304"/>
      <c r="AK69" s="304"/>
      <c r="AL69" s="304"/>
      <c r="AM69" s="304"/>
      <c r="AN69" s="305">
        <f t="shared" si="3"/>
        <v>750</v>
      </c>
      <c r="AO69" s="306">
        <v>46023</v>
      </c>
      <c r="AP69" s="306">
        <v>46387</v>
      </c>
      <c r="AQ69" s="307" t="s">
        <v>1361</v>
      </c>
    </row>
    <row r="70" spans="1:43" ht="71.25" hidden="1">
      <c r="A70" s="294">
        <v>1</v>
      </c>
      <c r="B70" s="295" t="s">
        <v>513</v>
      </c>
      <c r="C70" s="294">
        <v>41</v>
      </c>
      <c r="D70" s="296" t="s">
        <v>1354</v>
      </c>
      <c r="E70" s="297">
        <v>4103</v>
      </c>
      <c r="F70" s="298" t="s">
        <v>318</v>
      </c>
      <c r="G70" s="294">
        <v>4103052</v>
      </c>
      <c r="H70" s="298" t="s">
        <v>1405</v>
      </c>
      <c r="I70" s="799">
        <v>410305202</v>
      </c>
      <c r="J70" s="796" t="s">
        <v>1406</v>
      </c>
      <c r="K70" s="299">
        <v>1</v>
      </c>
      <c r="L70" s="299"/>
      <c r="M70" s="299">
        <f t="shared" si="2"/>
        <v>1</v>
      </c>
      <c r="N70" s="294">
        <v>2024003630071</v>
      </c>
      <c r="O70" s="796" t="s">
        <v>1489</v>
      </c>
      <c r="P70" s="874" t="s">
        <v>1490</v>
      </c>
      <c r="Q70" s="302">
        <v>14000000</v>
      </c>
      <c r="R70" s="301"/>
      <c r="S70" s="301"/>
      <c r="T70" s="301"/>
      <c r="U70" s="302">
        <f t="shared" si="1"/>
        <v>14000000</v>
      </c>
      <c r="V70" s="784" t="s">
        <v>1491</v>
      </c>
      <c r="W70" s="294">
        <v>20</v>
      </c>
      <c r="X70" s="300" t="s">
        <v>67</v>
      </c>
      <c r="Y70" s="304">
        <v>188</v>
      </c>
      <c r="Z70" s="305" t="s">
        <v>1492</v>
      </c>
      <c r="AA70" s="304"/>
      <c r="AB70" s="304"/>
      <c r="AC70" s="304"/>
      <c r="AD70" s="304"/>
      <c r="AE70" s="304"/>
      <c r="AF70" s="304">
        <v>376</v>
      </c>
      <c r="AG70" s="304"/>
      <c r="AH70" s="304"/>
      <c r="AI70" s="304"/>
      <c r="AJ70" s="304"/>
      <c r="AK70" s="304"/>
      <c r="AL70" s="304"/>
      <c r="AM70" s="304"/>
      <c r="AN70" s="305">
        <f t="shared" si="3"/>
        <v>376</v>
      </c>
      <c r="AO70" s="306">
        <v>46023</v>
      </c>
      <c r="AP70" s="306">
        <v>46387</v>
      </c>
      <c r="AQ70" s="307" t="s">
        <v>1361</v>
      </c>
    </row>
    <row r="71" spans="1:43" ht="71.25" hidden="1">
      <c r="A71" s="294">
        <v>1</v>
      </c>
      <c r="B71" s="295" t="s">
        <v>513</v>
      </c>
      <c r="C71" s="294">
        <v>41</v>
      </c>
      <c r="D71" s="296" t="s">
        <v>1354</v>
      </c>
      <c r="E71" s="297">
        <v>4103</v>
      </c>
      <c r="F71" s="298" t="s">
        <v>318</v>
      </c>
      <c r="G71" s="294">
        <v>4103052</v>
      </c>
      <c r="H71" s="298" t="s">
        <v>1405</v>
      </c>
      <c r="I71" s="799">
        <v>410305202</v>
      </c>
      <c r="J71" s="796" t="s">
        <v>1406</v>
      </c>
      <c r="K71" s="299">
        <v>1</v>
      </c>
      <c r="L71" s="299"/>
      <c r="M71" s="299">
        <f t="shared" si="2"/>
        <v>1</v>
      </c>
      <c r="N71" s="294">
        <v>2024003630071</v>
      </c>
      <c r="O71" s="796" t="s">
        <v>1489</v>
      </c>
      <c r="P71" s="874" t="s">
        <v>1493</v>
      </c>
      <c r="Q71" s="302">
        <v>107649000</v>
      </c>
      <c r="R71" s="301"/>
      <c r="S71" s="301"/>
      <c r="T71" s="301"/>
      <c r="U71" s="302">
        <f t="shared" si="1"/>
        <v>107649000</v>
      </c>
      <c r="V71" s="784" t="s">
        <v>1491</v>
      </c>
      <c r="W71" s="294">
        <v>20</v>
      </c>
      <c r="X71" s="300" t="s">
        <v>67</v>
      </c>
      <c r="Y71" s="304">
        <v>188</v>
      </c>
      <c r="Z71" s="305" t="s">
        <v>1492</v>
      </c>
      <c r="AA71" s="304"/>
      <c r="AB71" s="304"/>
      <c r="AC71" s="304"/>
      <c r="AD71" s="304"/>
      <c r="AE71" s="304"/>
      <c r="AF71" s="304">
        <v>376</v>
      </c>
      <c r="AG71" s="304"/>
      <c r="AH71" s="304"/>
      <c r="AI71" s="304"/>
      <c r="AJ71" s="304"/>
      <c r="AK71" s="304"/>
      <c r="AL71" s="304"/>
      <c r="AM71" s="304"/>
      <c r="AN71" s="305">
        <f t="shared" si="3"/>
        <v>376</v>
      </c>
      <c r="AO71" s="306">
        <v>46023</v>
      </c>
      <c r="AP71" s="306">
        <v>46387</v>
      </c>
      <c r="AQ71" s="307" t="s">
        <v>1361</v>
      </c>
    </row>
    <row r="72" spans="1:43" ht="71.25" hidden="1">
      <c r="A72" s="294">
        <v>1</v>
      </c>
      <c r="B72" s="295" t="s">
        <v>513</v>
      </c>
      <c r="C72" s="294">
        <v>41</v>
      </c>
      <c r="D72" s="296" t="s">
        <v>1354</v>
      </c>
      <c r="E72" s="297">
        <v>4103</v>
      </c>
      <c r="F72" s="298" t="s">
        <v>318</v>
      </c>
      <c r="G72" s="294">
        <v>4103052</v>
      </c>
      <c r="H72" s="298" t="s">
        <v>1405</v>
      </c>
      <c r="I72" s="799">
        <v>410305202</v>
      </c>
      <c r="J72" s="796" t="s">
        <v>1406</v>
      </c>
      <c r="K72" s="299">
        <v>1</v>
      </c>
      <c r="L72" s="299"/>
      <c r="M72" s="299">
        <f t="shared" si="2"/>
        <v>1</v>
      </c>
      <c r="N72" s="294">
        <v>2024003630071</v>
      </c>
      <c r="O72" s="796" t="s">
        <v>1489</v>
      </c>
      <c r="P72" s="878" t="s">
        <v>1494</v>
      </c>
      <c r="Q72" s="302">
        <v>7000000</v>
      </c>
      <c r="R72" s="301"/>
      <c r="S72" s="301"/>
      <c r="T72" s="301"/>
      <c r="U72" s="302">
        <f t="shared" si="1"/>
        <v>7000000</v>
      </c>
      <c r="V72" s="784" t="s">
        <v>1495</v>
      </c>
      <c r="W72" s="294">
        <v>20</v>
      </c>
      <c r="X72" s="300" t="s">
        <v>67</v>
      </c>
      <c r="Y72" s="304">
        <v>188</v>
      </c>
      <c r="Z72" s="305" t="s">
        <v>1492</v>
      </c>
      <c r="AA72" s="304"/>
      <c r="AB72" s="304"/>
      <c r="AC72" s="304"/>
      <c r="AD72" s="304"/>
      <c r="AE72" s="304"/>
      <c r="AF72" s="304">
        <v>376</v>
      </c>
      <c r="AG72" s="304"/>
      <c r="AH72" s="304"/>
      <c r="AI72" s="304"/>
      <c r="AJ72" s="304"/>
      <c r="AK72" s="304"/>
      <c r="AL72" s="304"/>
      <c r="AM72" s="304"/>
      <c r="AN72" s="305">
        <f t="shared" si="3"/>
        <v>376</v>
      </c>
      <c r="AO72" s="306">
        <v>46023</v>
      </c>
      <c r="AP72" s="306">
        <v>46387</v>
      </c>
      <c r="AQ72" s="307" t="s">
        <v>1361</v>
      </c>
    </row>
    <row r="73" spans="1:43" ht="128.25" hidden="1">
      <c r="A73" s="294">
        <v>1</v>
      </c>
      <c r="B73" s="295" t="s">
        <v>513</v>
      </c>
      <c r="C73" s="294">
        <v>41</v>
      </c>
      <c r="D73" s="296" t="s">
        <v>1354</v>
      </c>
      <c r="E73" s="297">
        <v>4102</v>
      </c>
      <c r="F73" s="298" t="s">
        <v>1355</v>
      </c>
      <c r="G73" s="294" t="s">
        <v>1496</v>
      </c>
      <c r="H73" s="298" t="s">
        <v>1497</v>
      </c>
      <c r="I73" s="292">
        <v>410204100</v>
      </c>
      <c r="J73" s="298" t="s">
        <v>1498</v>
      </c>
      <c r="K73" s="299">
        <v>12</v>
      </c>
      <c r="L73" s="299"/>
      <c r="M73" s="299">
        <f t="shared" si="2"/>
        <v>12</v>
      </c>
      <c r="N73" s="294">
        <v>2024003630075</v>
      </c>
      <c r="O73" s="298" t="s">
        <v>1499</v>
      </c>
      <c r="P73" s="298" t="s">
        <v>1500</v>
      </c>
      <c r="Q73" s="302">
        <v>9000000</v>
      </c>
      <c r="R73" s="301"/>
      <c r="S73" s="301"/>
      <c r="T73" s="301"/>
      <c r="U73" s="302">
        <f t="shared" si="1"/>
        <v>9000000</v>
      </c>
      <c r="V73" s="784" t="s">
        <v>1501</v>
      </c>
      <c r="W73" s="805">
        <v>20</v>
      </c>
      <c r="X73" s="806" t="s">
        <v>67</v>
      </c>
      <c r="Y73" s="786">
        <v>293304</v>
      </c>
      <c r="Z73" s="786">
        <v>272744</v>
      </c>
      <c r="AA73" s="786">
        <v>99059</v>
      </c>
      <c r="AB73" s="786">
        <v>36139</v>
      </c>
      <c r="AC73" s="786">
        <v>314186</v>
      </c>
      <c r="AD73" s="786">
        <v>116664</v>
      </c>
      <c r="AE73" s="786">
        <v>3247</v>
      </c>
      <c r="AF73" s="786">
        <v>6804</v>
      </c>
      <c r="AG73" s="304">
        <v>25</v>
      </c>
      <c r="AH73" s="304">
        <v>7</v>
      </c>
      <c r="AI73" s="304">
        <v>0</v>
      </c>
      <c r="AJ73" s="304">
        <v>0</v>
      </c>
      <c r="AK73" s="786">
        <v>50946</v>
      </c>
      <c r="AL73" s="786">
        <v>28554</v>
      </c>
      <c r="AM73" s="786">
        <v>53914</v>
      </c>
      <c r="AN73" s="305">
        <f t="shared" si="3"/>
        <v>566048</v>
      </c>
      <c r="AO73" s="306">
        <v>46023</v>
      </c>
      <c r="AP73" s="306">
        <v>46387</v>
      </c>
      <c r="AQ73" s="307" t="s">
        <v>1361</v>
      </c>
    </row>
    <row r="74" spans="1:43" ht="128.25" hidden="1">
      <c r="A74" s="294">
        <v>1</v>
      </c>
      <c r="B74" s="295" t="s">
        <v>513</v>
      </c>
      <c r="C74" s="294">
        <v>41</v>
      </c>
      <c r="D74" s="296" t="s">
        <v>1354</v>
      </c>
      <c r="E74" s="297">
        <v>4102</v>
      </c>
      <c r="F74" s="298" t="s">
        <v>1355</v>
      </c>
      <c r="G74" s="294" t="s">
        <v>1496</v>
      </c>
      <c r="H74" s="298" t="s">
        <v>1497</v>
      </c>
      <c r="I74" s="292">
        <v>410204100</v>
      </c>
      <c r="J74" s="298" t="s">
        <v>1498</v>
      </c>
      <c r="K74" s="299">
        <v>12</v>
      </c>
      <c r="L74" s="299"/>
      <c r="M74" s="299">
        <f t="shared" si="2"/>
        <v>12</v>
      </c>
      <c r="N74" s="294">
        <v>2024003630075</v>
      </c>
      <c r="O74" s="298" t="s">
        <v>1499</v>
      </c>
      <c r="P74" s="298" t="s">
        <v>1502</v>
      </c>
      <c r="Q74" s="302">
        <v>9000000</v>
      </c>
      <c r="R74" s="301"/>
      <c r="S74" s="301"/>
      <c r="T74" s="301"/>
      <c r="U74" s="302">
        <f t="shared" si="1"/>
        <v>9000000</v>
      </c>
      <c r="V74" s="784" t="s">
        <v>1501</v>
      </c>
      <c r="W74" s="805">
        <v>20</v>
      </c>
      <c r="X74" s="806" t="s">
        <v>67</v>
      </c>
      <c r="Y74" s="786">
        <v>293304</v>
      </c>
      <c r="Z74" s="786">
        <v>272744</v>
      </c>
      <c r="AA74" s="786">
        <v>99059</v>
      </c>
      <c r="AB74" s="786">
        <v>36139</v>
      </c>
      <c r="AC74" s="786">
        <v>314186</v>
      </c>
      <c r="AD74" s="786">
        <v>116664</v>
      </c>
      <c r="AE74" s="786">
        <v>3247</v>
      </c>
      <c r="AF74" s="786">
        <v>6804</v>
      </c>
      <c r="AG74" s="304">
        <v>25</v>
      </c>
      <c r="AH74" s="304">
        <v>7</v>
      </c>
      <c r="AI74" s="304">
        <v>0</v>
      </c>
      <c r="AJ74" s="304">
        <v>0</v>
      </c>
      <c r="AK74" s="786">
        <v>50946</v>
      </c>
      <c r="AL74" s="786">
        <v>28554</v>
      </c>
      <c r="AM74" s="786">
        <v>53914</v>
      </c>
      <c r="AN74" s="305">
        <f t="shared" si="3"/>
        <v>566048</v>
      </c>
      <c r="AO74" s="306">
        <v>46023</v>
      </c>
      <c r="AP74" s="306">
        <v>46387</v>
      </c>
      <c r="AQ74" s="307" t="s">
        <v>1361</v>
      </c>
    </row>
    <row r="75" spans="1:43" ht="128.25" hidden="1">
      <c r="A75" s="294">
        <v>1</v>
      </c>
      <c r="B75" s="295" t="s">
        <v>513</v>
      </c>
      <c r="C75" s="294">
        <v>41</v>
      </c>
      <c r="D75" s="296" t="s">
        <v>1354</v>
      </c>
      <c r="E75" s="297">
        <v>4102</v>
      </c>
      <c r="F75" s="298" t="s">
        <v>1355</v>
      </c>
      <c r="G75" s="294" t="s">
        <v>1496</v>
      </c>
      <c r="H75" s="298" t="s">
        <v>1497</v>
      </c>
      <c r="I75" s="292">
        <v>410204100</v>
      </c>
      <c r="J75" s="298" t="s">
        <v>1498</v>
      </c>
      <c r="K75" s="299">
        <v>12</v>
      </c>
      <c r="L75" s="299"/>
      <c r="M75" s="299">
        <f t="shared" si="2"/>
        <v>12</v>
      </c>
      <c r="N75" s="294">
        <v>2024003630075</v>
      </c>
      <c r="O75" s="298" t="s">
        <v>1499</v>
      </c>
      <c r="P75" s="298" t="s">
        <v>1503</v>
      </c>
      <c r="Q75" s="302">
        <v>5000000</v>
      </c>
      <c r="R75" s="301"/>
      <c r="S75" s="301"/>
      <c r="T75" s="301"/>
      <c r="U75" s="302">
        <f t="shared" si="1"/>
        <v>5000000</v>
      </c>
      <c r="V75" s="784" t="s">
        <v>1501</v>
      </c>
      <c r="W75" s="805">
        <v>20</v>
      </c>
      <c r="X75" s="806" t="s">
        <v>67</v>
      </c>
      <c r="Y75" s="786">
        <v>293304</v>
      </c>
      <c r="Z75" s="786">
        <v>272744</v>
      </c>
      <c r="AA75" s="786">
        <v>99059</v>
      </c>
      <c r="AB75" s="786">
        <v>36139</v>
      </c>
      <c r="AC75" s="786">
        <v>314186</v>
      </c>
      <c r="AD75" s="786">
        <v>116664</v>
      </c>
      <c r="AE75" s="786">
        <v>3247</v>
      </c>
      <c r="AF75" s="786">
        <v>6804</v>
      </c>
      <c r="AG75" s="304">
        <v>25</v>
      </c>
      <c r="AH75" s="304">
        <v>7</v>
      </c>
      <c r="AI75" s="304">
        <v>0</v>
      </c>
      <c r="AJ75" s="304">
        <v>0</v>
      </c>
      <c r="AK75" s="786">
        <v>50946</v>
      </c>
      <c r="AL75" s="786">
        <v>28554</v>
      </c>
      <c r="AM75" s="786">
        <v>53914</v>
      </c>
      <c r="AN75" s="305">
        <f t="shared" si="3"/>
        <v>566048</v>
      </c>
      <c r="AO75" s="306">
        <v>46023</v>
      </c>
      <c r="AP75" s="306">
        <v>46387</v>
      </c>
      <c r="AQ75" s="307" t="s">
        <v>1361</v>
      </c>
    </row>
    <row r="76" spans="1:43" ht="142.5" hidden="1">
      <c r="A76" s="143">
        <v>2</v>
      </c>
      <c r="B76" s="295" t="s">
        <v>326</v>
      </c>
      <c r="C76" s="294">
        <v>17</v>
      </c>
      <c r="D76" s="300" t="s">
        <v>652</v>
      </c>
      <c r="E76" s="297">
        <v>1702</v>
      </c>
      <c r="F76" s="298" t="s">
        <v>653</v>
      </c>
      <c r="G76" s="292">
        <v>1702011</v>
      </c>
      <c r="H76" s="298" t="s">
        <v>668</v>
      </c>
      <c r="I76" s="308">
        <v>170201102</v>
      </c>
      <c r="J76" s="792" t="s">
        <v>1504</v>
      </c>
      <c r="K76" s="299">
        <v>24</v>
      </c>
      <c r="L76" s="299"/>
      <c r="M76" s="299">
        <f t="shared" si="2"/>
        <v>24</v>
      </c>
      <c r="N76" s="294">
        <v>2024003630076</v>
      </c>
      <c r="O76" s="295" t="s">
        <v>1505</v>
      </c>
      <c r="P76" s="879" t="s">
        <v>1506</v>
      </c>
      <c r="Q76" s="302">
        <v>16000000</v>
      </c>
      <c r="R76" s="301"/>
      <c r="S76" s="301"/>
      <c r="T76" s="301"/>
      <c r="U76" s="302">
        <f t="shared" ref="U76:U139" si="4">Q76</f>
        <v>16000000</v>
      </c>
      <c r="V76" s="784" t="s">
        <v>1507</v>
      </c>
      <c r="W76" s="805">
        <v>20</v>
      </c>
      <c r="X76" s="806" t="s">
        <v>67</v>
      </c>
      <c r="Y76" s="304">
        <v>500</v>
      </c>
      <c r="Z76" s="305"/>
      <c r="AA76" s="304"/>
      <c r="AB76" s="304"/>
      <c r="AC76" s="304"/>
      <c r="AD76" s="304"/>
      <c r="AE76" s="304"/>
      <c r="AF76" s="304"/>
      <c r="AG76" s="304"/>
      <c r="AH76" s="304"/>
      <c r="AI76" s="304"/>
      <c r="AJ76" s="304"/>
      <c r="AK76" s="304"/>
      <c r="AL76" s="304"/>
      <c r="AM76" s="304"/>
      <c r="AN76" s="305">
        <f t="shared" si="3"/>
        <v>500</v>
      </c>
      <c r="AO76" s="306">
        <v>46023</v>
      </c>
      <c r="AP76" s="306">
        <v>46387</v>
      </c>
      <c r="AQ76" s="307" t="s">
        <v>1361</v>
      </c>
    </row>
    <row r="77" spans="1:43" ht="128.25" hidden="1">
      <c r="A77" s="143">
        <v>2</v>
      </c>
      <c r="B77" s="295" t="s">
        <v>326</v>
      </c>
      <c r="C77" s="294">
        <v>17</v>
      </c>
      <c r="D77" s="300" t="s">
        <v>652</v>
      </c>
      <c r="E77" s="297">
        <v>1702</v>
      </c>
      <c r="F77" s="298" t="s">
        <v>653</v>
      </c>
      <c r="G77" s="292">
        <v>1702011</v>
      </c>
      <c r="H77" s="298" t="s">
        <v>668</v>
      </c>
      <c r="I77" s="308">
        <v>170201102</v>
      </c>
      <c r="J77" s="792" t="s">
        <v>1504</v>
      </c>
      <c r="K77" s="299">
        <v>24</v>
      </c>
      <c r="L77" s="299"/>
      <c r="M77" s="299">
        <f t="shared" si="2"/>
        <v>24</v>
      </c>
      <c r="N77" s="294">
        <v>2024003630076</v>
      </c>
      <c r="O77" s="295" t="s">
        <v>1505</v>
      </c>
      <c r="P77" s="880" t="s">
        <v>1508</v>
      </c>
      <c r="Q77" s="302">
        <v>15000000</v>
      </c>
      <c r="R77" s="301"/>
      <c r="S77" s="301"/>
      <c r="T77" s="301"/>
      <c r="U77" s="302">
        <f t="shared" si="4"/>
        <v>15000000</v>
      </c>
      <c r="V77" s="784" t="s">
        <v>1507</v>
      </c>
      <c r="W77" s="805">
        <v>20</v>
      </c>
      <c r="X77" s="806" t="s">
        <v>67</v>
      </c>
      <c r="Y77" s="304">
        <v>500</v>
      </c>
      <c r="Z77" s="305"/>
      <c r="AA77" s="304"/>
      <c r="AB77" s="304"/>
      <c r="AC77" s="304"/>
      <c r="AD77" s="304"/>
      <c r="AE77" s="304"/>
      <c r="AF77" s="304"/>
      <c r="AG77" s="304"/>
      <c r="AH77" s="304"/>
      <c r="AI77" s="304"/>
      <c r="AJ77" s="304"/>
      <c r="AK77" s="304"/>
      <c r="AL77" s="304"/>
      <c r="AM77" s="304"/>
      <c r="AN77" s="305">
        <f t="shared" si="3"/>
        <v>500</v>
      </c>
      <c r="AO77" s="306">
        <v>46023</v>
      </c>
      <c r="AP77" s="306">
        <v>46387</v>
      </c>
      <c r="AQ77" s="307" t="s">
        <v>1361</v>
      </c>
    </row>
    <row r="78" spans="1:43" ht="128.25" hidden="1">
      <c r="A78" s="143">
        <v>2</v>
      </c>
      <c r="B78" s="295" t="s">
        <v>326</v>
      </c>
      <c r="C78" s="294">
        <v>17</v>
      </c>
      <c r="D78" s="300" t="s">
        <v>652</v>
      </c>
      <c r="E78" s="297">
        <v>1702</v>
      </c>
      <c r="F78" s="298" t="s">
        <v>653</v>
      </c>
      <c r="G78" s="292">
        <v>1702011</v>
      </c>
      <c r="H78" s="298" t="s">
        <v>668</v>
      </c>
      <c r="I78" s="308">
        <v>170201102</v>
      </c>
      <c r="J78" s="792" t="s">
        <v>1504</v>
      </c>
      <c r="K78" s="299">
        <v>24</v>
      </c>
      <c r="L78" s="299"/>
      <c r="M78" s="299">
        <f t="shared" si="2"/>
        <v>24</v>
      </c>
      <c r="N78" s="294">
        <v>2024003630076</v>
      </c>
      <c r="O78" s="295" t="s">
        <v>1505</v>
      </c>
      <c r="P78" s="881" t="s">
        <v>1509</v>
      </c>
      <c r="Q78" s="302">
        <v>3000000</v>
      </c>
      <c r="R78" s="301"/>
      <c r="S78" s="301"/>
      <c r="T78" s="301"/>
      <c r="U78" s="302">
        <f t="shared" si="4"/>
        <v>3000000</v>
      </c>
      <c r="V78" s="784" t="s">
        <v>1510</v>
      </c>
      <c r="W78" s="805">
        <v>20</v>
      </c>
      <c r="X78" s="806" t="s">
        <v>67</v>
      </c>
      <c r="Y78" s="304">
        <v>500</v>
      </c>
      <c r="Z78" s="305"/>
      <c r="AA78" s="304"/>
      <c r="AB78" s="304"/>
      <c r="AC78" s="304"/>
      <c r="AD78" s="304"/>
      <c r="AE78" s="304"/>
      <c r="AF78" s="304"/>
      <c r="AG78" s="304"/>
      <c r="AH78" s="304"/>
      <c r="AI78" s="304"/>
      <c r="AJ78" s="304"/>
      <c r="AK78" s="304"/>
      <c r="AL78" s="304"/>
      <c r="AM78" s="304"/>
      <c r="AN78" s="305">
        <f t="shared" si="3"/>
        <v>500</v>
      </c>
      <c r="AO78" s="306">
        <v>46023</v>
      </c>
      <c r="AP78" s="306">
        <v>46387</v>
      </c>
      <c r="AQ78" s="307" t="s">
        <v>1361</v>
      </c>
    </row>
    <row r="79" spans="1:43" ht="128.25" hidden="1">
      <c r="A79" s="143">
        <v>2</v>
      </c>
      <c r="B79" s="295" t="s">
        <v>326</v>
      </c>
      <c r="C79" s="294">
        <v>17</v>
      </c>
      <c r="D79" s="300" t="s">
        <v>652</v>
      </c>
      <c r="E79" s="297">
        <v>1702</v>
      </c>
      <c r="F79" s="298" t="s">
        <v>653</v>
      </c>
      <c r="G79" s="292">
        <v>1702011</v>
      </c>
      <c r="H79" s="298" t="s">
        <v>668</v>
      </c>
      <c r="I79" s="308">
        <v>170201102</v>
      </c>
      <c r="J79" s="792" t="s">
        <v>1504</v>
      </c>
      <c r="K79" s="299">
        <v>24</v>
      </c>
      <c r="L79" s="299"/>
      <c r="M79" s="299">
        <f t="shared" si="2"/>
        <v>24</v>
      </c>
      <c r="N79" s="294">
        <v>2024003630076</v>
      </c>
      <c r="O79" s="295" t="s">
        <v>1505</v>
      </c>
      <c r="P79" s="882" t="s">
        <v>1511</v>
      </c>
      <c r="Q79" s="302">
        <v>1000000</v>
      </c>
      <c r="R79" s="301"/>
      <c r="S79" s="301"/>
      <c r="T79" s="301"/>
      <c r="U79" s="302">
        <f t="shared" si="4"/>
        <v>1000000</v>
      </c>
      <c r="V79" s="784" t="s">
        <v>1512</v>
      </c>
      <c r="W79" s="805">
        <v>20</v>
      </c>
      <c r="X79" s="806" t="s">
        <v>67</v>
      </c>
      <c r="Y79" s="304">
        <v>500</v>
      </c>
      <c r="Z79" s="305"/>
      <c r="AA79" s="304"/>
      <c r="AB79" s="304"/>
      <c r="AC79" s="304"/>
      <c r="AD79" s="304"/>
      <c r="AE79" s="304"/>
      <c r="AF79" s="304"/>
      <c r="AG79" s="304"/>
      <c r="AH79" s="304"/>
      <c r="AI79" s="304"/>
      <c r="AJ79" s="304"/>
      <c r="AK79" s="304"/>
      <c r="AL79" s="304"/>
      <c r="AM79" s="304"/>
      <c r="AN79" s="305">
        <f t="shared" si="3"/>
        <v>500</v>
      </c>
      <c r="AO79" s="306">
        <v>46023</v>
      </c>
      <c r="AP79" s="306">
        <v>46387</v>
      </c>
      <c r="AQ79" s="307" t="s">
        <v>1361</v>
      </c>
    </row>
    <row r="80" spans="1:43" ht="99.75" hidden="1">
      <c r="A80" s="294">
        <v>4</v>
      </c>
      <c r="B80" s="295" t="s">
        <v>58</v>
      </c>
      <c r="C80" s="294">
        <v>45</v>
      </c>
      <c r="D80" s="300" t="s">
        <v>59</v>
      </c>
      <c r="E80" s="297">
        <v>4502</v>
      </c>
      <c r="F80" s="298" t="s">
        <v>97</v>
      </c>
      <c r="G80" s="807">
        <v>4502038</v>
      </c>
      <c r="H80" s="298" t="s">
        <v>1513</v>
      </c>
      <c r="I80" s="294">
        <v>450203800</v>
      </c>
      <c r="J80" s="298" t="s">
        <v>1514</v>
      </c>
      <c r="K80" s="299">
        <v>1</v>
      </c>
      <c r="L80" s="299"/>
      <c r="M80" s="299">
        <f t="shared" si="2"/>
        <v>1</v>
      </c>
      <c r="N80" s="309">
        <v>2024003630079</v>
      </c>
      <c r="O80" s="298" t="s">
        <v>1515</v>
      </c>
      <c r="P80" s="874" t="s">
        <v>1516</v>
      </c>
      <c r="Q80" s="302">
        <v>68000000</v>
      </c>
      <c r="R80" s="301"/>
      <c r="S80" s="301"/>
      <c r="T80" s="301"/>
      <c r="U80" s="302">
        <f t="shared" si="4"/>
        <v>68000000</v>
      </c>
      <c r="V80" s="784" t="s">
        <v>1517</v>
      </c>
      <c r="W80" s="805">
        <v>20</v>
      </c>
      <c r="X80" s="806" t="s">
        <v>67</v>
      </c>
      <c r="Y80" s="304">
        <v>150</v>
      </c>
      <c r="Z80" s="305" t="s">
        <v>1518</v>
      </c>
      <c r="AA80" s="304"/>
      <c r="AB80" s="304"/>
      <c r="AC80" s="304"/>
      <c r="AD80" s="304"/>
      <c r="AE80" s="304"/>
      <c r="AF80" s="304"/>
      <c r="AG80" s="304"/>
      <c r="AH80" s="304"/>
      <c r="AI80" s="304"/>
      <c r="AJ80" s="304"/>
      <c r="AK80" s="304"/>
      <c r="AL80" s="304"/>
      <c r="AM80" s="304"/>
      <c r="AN80" s="305">
        <f t="shared" si="3"/>
        <v>300</v>
      </c>
      <c r="AO80" s="306">
        <v>46023</v>
      </c>
      <c r="AP80" s="306">
        <v>46387</v>
      </c>
      <c r="AQ80" s="307" t="s">
        <v>1361</v>
      </c>
    </row>
    <row r="81" spans="1:43" ht="114" hidden="1">
      <c r="A81" s="294">
        <v>4</v>
      </c>
      <c r="B81" s="295" t="s">
        <v>58</v>
      </c>
      <c r="C81" s="294">
        <v>45</v>
      </c>
      <c r="D81" s="300" t="s">
        <v>59</v>
      </c>
      <c r="E81" s="297">
        <v>4502</v>
      </c>
      <c r="F81" s="298" t="s">
        <v>97</v>
      </c>
      <c r="G81" s="807">
        <v>4502038</v>
      </c>
      <c r="H81" s="298" t="s">
        <v>1513</v>
      </c>
      <c r="I81" s="294">
        <v>450203800</v>
      </c>
      <c r="J81" s="298" t="s">
        <v>1514</v>
      </c>
      <c r="K81" s="299">
        <v>1</v>
      </c>
      <c r="L81" s="299"/>
      <c r="M81" s="299">
        <f t="shared" si="2"/>
        <v>1</v>
      </c>
      <c r="N81" s="309">
        <v>2024003630079</v>
      </c>
      <c r="O81" s="298" t="s">
        <v>1515</v>
      </c>
      <c r="P81" s="874" t="s">
        <v>1519</v>
      </c>
      <c r="Q81" s="302">
        <v>20000000</v>
      </c>
      <c r="R81" s="301"/>
      <c r="S81" s="301"/>
      <c r="T81" s="301"/>
      <c r="U81" s="302">
        <f t="shared" si="4"/>
        <v>20000000</v>
      </c>
      <c r="V81" s="784" t="s">
        <v>1517</v>
      </c>
      <c r="W81" s="805">
        <v>20</v>
      </c>
      <c r="X81" s="806" t="s">
        <v>67</v>
      </c>
      <c r="Y81" s="304">
        <v>150</v>
      </c>
      <c r="Z81" s="305" t="s">
        <v>1518</v>
      </c>
      <c r="AA81" s="304"/>
      <c r="AB81" s="304"/>
      <c r="AC81" s="304"/>
      <c r="AD81" s="304"/>
      <c r="AE81" s="304"/>
      <c r="AF81" s="304"/>
      <c r="AG81" s="304"/>
      <c r="AH81" s="304"/>
      <c r="AI81" s="304"/>
      <c r="AJ81" s="304"/>
      <c r="AK81" s="304"/>
      <c r="AL81" s="304"/>
      <c r="AM81" s="304"/>
      <c r="AN81" s="305">
        <f t="shared" si="3"/>
        <v>300</v>
      </c>
      <c r="AO81" s="306">
        <v>46023</v>
      </c>
      <c r="AP81" s="306">
        <v>46387</v>
      </c>
      <c r="AQ81" s="307" t="s">
        <v>1361</v>
      </c>
    </row>
    <row r="82" spans="1:43" ht="128.25" hidden="1">
      <c r="A82" s="294">
        <v>4</v>
      </c>
      <c r="B82" s="295" t="s">
        <v>58</v>
      </c>
      <c r="C82" s="294">
        <v>45</v>
      </c>
      <c r="D82" s="300" t="s">
        <v>59</v>
      </c>
      <c r="E82" s="297">
        <v>4502</v>
      </c>
      <c r="F82" s="298" t="s">
        <v>97</v>
      </c>
      <c r="G82" s="807">
        <v>4502038</v>
      </c>
      <c r="H82" s="298" t="s">
        <v>1513</v>
      </c>
      <c r="I82" s="294">
        <v>450203800</v>
      </c>
      <c r="J82" s="298" t="s">
        <v>1514</v>
      </c>
      <c r="K82" s="299">
        <v>1</v>
      </c>
      <c r="L82" s="299"/>
      <c r="M82" s="299">
        <f t="shared" si="2"/>
        <v>1</v>
      </c>
      <c r="N82" s="309">
        <v>2024003630079</v>
      </c>
      <c r="O82" s="298" t="s">
        <v>1515</v>
      </c>
      <c r="P82" s="874" t="s">
        <v>1520</v>
      </c>
      <c r="Q82" s="302">
        <v>22500000</v>
      </c>
      <c r="R82" s="301"/>
      <c r="S82" s="301"/>
      <c r="T82" s="301"/>
      <c r="U82" s="302">
        <f t="shared" si="4"/>
        <v>22500000</v>
      </c>
      <c r="V82" s="784" t="s">
        <v>1517</v>
      </c>
      <c r="W82" s="805">
        <v>20</v>
      </c>
      <c r="X82" s="806" t="s">
        <v>67</v>
      </c>
      <c r="Y82" s="304">
        <v>150</v>
      </c>
      <c r="Z82" s="305" t="s">
        <v>1518</v>
      </c>
      <c r="AA82" s="304"/>
      <c r="AB82" s="304"/>
      <c r="AC82" s="304"/>
      <c r="AD82" s="304"/>
      <c r="AE82" s="304"/>
      <c r="AF82" s="304"/>
      <c r="AG82" s="304"/>
      <c r="AH82" s="304"/>
      <c r="AI82" s="304"/>
      <c r="AJ82" s="304"/>
      <c r="AK82" s="304"/>
      <c r="AL82" s="304"/>
      <c r="AM82" s="304"/>
      <c r="AN82" s="305">
        <f t="shared" si="3"/>
        <v>300</v>
      </c>
      <c r="AO82" s="306">
        <v>46023</v>
      </c>
      <c r="AP82" s="306">
        <v>46387</v>
      </c>
      <c r="AQ82" s="307" t="s">
        <v>1361</v>
      </c>
    </row>
    <row r="83" spans="1:43" ht="156.75" hidden="1">
      <c r="A83" s="294">
        <v>4</v>
      </c>
      <c r="B83" s="295" t="s">
        <v>58</v>
      </c>
      <c r="C83" s="294">
        <v>45</v>
      </c>
      <c r="D83" s="300" t="s">
        <v>59</v>
      </c>
      <c r="E83" s="297">
        <v>4502</v>
      </c>
      <c r="F83" s="298" t="s">
        <v>97</v>
      </c>
      <c r="G83" s="807">
        <v>4502038</v>
      </c>
      <c r="H83" s="298" t="s">
        <v>1513</v>
      </c>
      <c r="I83" s="294">
        <v>450203800</v>
      </c>
      <c r="J83" s="298" t="s">
        <v>1514</v>
      </c>
      <c r="K83" s="299">
        <v>1</v>
      </c>
      <c r="L83" s="299"/>
      <c r="M83" s="299">
        <f t="shared" si="2"/>
        <v>1</v>
      </c>
      <c r="N83" s="309">
        <v>2024003630079</v>
      </c>
      <c r="O83" s="298" t="s">
        <v>1515</v>
      </c>
      <c r="P83" s="874" t="s">
        <v>1521</v>
      </c>
      <c r="Q83" s="302">
        <v>40000000</v>
      </c>
      <c r="R83" s="301"/>
      <c r="S83" s="301"/>
      <c r="T83" s="301"/>
      <c r="U83" s="302">
        <f t="shared" si="4"/>
        <v>40000000</v>
      </c>
      <c r="V83" s="784" t="s">
        <v>1517</v>
      </c>
      <c r="W83" s="805">
        <v>20</v>
      </c>
      <c r="X83" s="806" t="s">
        <v>67</v>
      </c>
      <c r="Y83" s="304">
        <v>150</v>
      </c>
      <c r="Z83" s="305" t="s">
        <v>1518</v>
      </c>
      <c r="AA83" s="304"/>
      <c r="AB83" s="304"/>
      <c r="AC83" s="304"/>
      <c r="AD83" s="304"/>
      <c r="AE83" s="304"/>
      <c r="AF83" s="304"/>
      <c r="AG83" s="304"/>
      <c r="AH83" s="304"/>
      <c r="AI83" s="304"/>
      <c r="AJ83" s="304"/>
      <c r="AK83" s="304"/>
      <c r="AL83" s="304"/>
      <c r="AM83" s="304"/>
      <c r="AN83" s="305">
        <f t="shared" si="3"/>
        <v>300</v>
      </c>
      <c r="AO83" s="306">
        <v>46023</v>
      </c>
      <c r="AP83" s="306">
        <v>46387</v>
      </c>
      <c r="AQ83" s="307" t="s">
        <v>1361</v>
      </c>
    </row>
    <row r="84" spans="1:43" ht="99.75" hidden="1">
      <c r="A84" s="294">
        <v>4</v>
      </c>
      <c r="B84" s="295" t="s">
        <v>58</v>
      </c>
      <c r="C84" s="294">
        <v>45</v>
      </c>
      <c r="D84" s="300" t="s">
        <v>59</v>
      </c>
      <c r="E84" s="297">
        <v>4502</v>
      </c>
      <c r="F84" s="298" t="s">
        <v>97</v>
      </c>
      <c r="G84" s="807">
        <v>4502038</v>
      </c>
      <c r="H84" s="298" t="s">
        <v>1513</v>
      </c>
      <c r="I84" s="294">
        <v>450203800</v>
      </c>
      <c r="J84" s="298" t="s">
        <v>1514</v>
      </c>
      <c r="K84" s="299">
        <v>1</v>
      </c>
      <c r="L84" s="299"/>
      <c r="M84" s="299">
        <f t="shared" si="2"/>
        <v>1</v>
      </c>
      <c r="N84" s="309">
        <v>2024003630079</v>
      </c>
      <c r="O84" s="298" t="s">
        <v>1515</v>
      </c>
      <c r="P84" s="878" t="s">
        <v>1522</v>
      </c>
      <c r="Q84" s="302">
        <v>5000000</v>
      </c>
      <c r="R84" s="301"/>
      <c r="S84" s="301"/>
      <c r="T84" s="301"/>
      <c r="U84" s="302">
        <f t="shared" si="4"/>
        <v>5000000</v>
      </c>
      <c r="V84" s="784" t="s">
        <v>1523</v>
      </c>
      <c r="W84" s="805">
        <v>20</v>
      </c>
      <c r="X84" s="806" t="s">
        <v>67</v>
      </c>
      <c r="Y84" s="304">
        <v>150</v>
      </c>
      <c r="Z84" s="305" t="s">
        <v>1518</v>
      </c>
      <c r="AA84" s="304"/>
      <c r="AB84" s="304"/>
      <c r="AC84" s="304"/>
      <c r="AD84" s="304"/>
      <c r="AE84" s="304"/>
      <c r="AF84" s="304"/>
      <c r="AG84" s="304"/>
      <c r="AH84" s="304"/>
      <c r="AI84" s="304"/>
      <c r="AJ84" s="304"/>
      <c r="AK84" s="304"/>
      <c r="AL84" s="304"/>
      <c r="AM84" s="304"/>
      <c r="AN84" s="305">
        <f t="shared" si="3"/>
        <v>300</v>
      </c>
      <c r="AO84" s="306">
        <v>46023</v>
      </c>
      <c r="AP84" s="306">
        <v>46387</v>
      </c>
      <c r="AQ84" s="307" t="s">
        <v>1361</v>
      </c>
    </row>
    <row r="85" spans="1:43" ht="99.75" hidden="1">
      <c r="A85" s="294">
        <v>4</v>
      </c>
      <c r="B85" s="295" t="s">
        <v>58</v>
      </c>
      <c r="C85" s="294">
        <v>45</v>
      </c>
      <c r="D85" s="300" t="s">
        <v>59</v>
      </c>
      <c r="E85" s="297">
        <v>4502</v>
      </c>
      <c r="F85" s="298" t="s">
        <v>97</v>
      </c>
      <c r="G85" s="807">
        <v>4502038</v>
      </c>
      <c r="H85" s="298" t="s">
        <v>1513</v>
      </c>
      <c r="I85" s="294">
        <v>450203800</v>
      </c>
      <c r="J85" s="298" t="s">
        <v>1514</v>
      </c>
      <c r="K85" s="299">
        <v>1</v>
      </c>
      <c r="L85" s="299"/>
      <c r="M85" s="299">
        <f t="shared" si="2"/>
        <v>1</v>
      </c>
      <c r="N85" s="309">
        <v>2024003630079</v>
      </c>
      <c r="O85" s="298" t="s">
        <v>1515</v>
      </c>
      <c r="P85" s="878" t="s">
        <v>1524</v>
      </c>
      <c r="Q85" s="302">
        <v>2500000</v>
      </c>
      <c r="R85" s="301"/>
      <c r="S85" s="301"/>
      <c r="T85" s="301"/>
      <c r="U85" s="302">
        <f t="shared" si="4"/>
        <v>2500000</v>
      </c>
      <c r="V85" s="784" t="s">
        <v>1525</v>
      </c>
      <c r="W85" s="805">
        <v>20</v>
      </c>
      <c r="X85" s="806" t="s">
        <v>67</v>
      </c>
      <c r="Y85" s="304">
        <v>150</v>
      </c>
      <c r="Z85" s="305" t="s">
        <v>1518</v>
      </c>
      <c r="AA85" s="304"/>
      <c r="AB85" s="304"/>
      <c r="AC85" s="304"/>
      <c r="AD85" s="304"/>
      <c r="AE85" s="304"/>
      <c r="AF85" s="304"/>
      <c r="AG85" s="304"/>
      <c r="AH85" s="304"/>
      <c r="AI85" s="304"/>
      <c r="AJ85" s="304"/>
      <c r="AK85" s="304"/>
      <c r="AL85" s="304"/>
      <c r="AM85" s="304"/>
      <c r="AN85" s="305">
        <f t="shared" si="3"/>
        <v>300</v>
      </c>
      <c r="AO85" s="306">
        <v>46023</v>
      </c>
      <c r="AP85" s="306">
        <v>46387</v>
      </c>
      <c r="AQ85" s="307" t="s">
        <v>1361</v>
      </c>
    </row>
    <row r="86" spans="1:43" ht="99.75" hidden="1">
      <c r="A86" s="294">
        <v>4</v>
      </c>
      <c r="B86" s="295" t="s">
        <v>58</v>
      </c>
      <c r="C86" s="294">
        <v>45</v>
      </c>
      <c r="D86" s="300" t="s">
        <v>59</v>
      </c>
      <c r="E86" s="297">
        <v>4502</v>
      </c>
      <c r="F86" s="298" t="s">
        <v>97</v>
      </c>
      <c r="G86" s="807">
        <v>4502038</v>
      </c>
      <c r="H86" s="298" t="s">
        <v>1513</v>
      </c>
      <c r="I86" s="294">
        <v>450203800</v>
      </c>
      <c r="J86" s="298" t="s">
        <v>1514</v>
      </c>
      <c r="K86" s="299">
        <v>1</v>
      </c>
      <c r="L86" s="299"/>
      <c r="M86" s="299">
        <f t="shared" si="2"/>
        <v>1</v>
      </c>
      <c r="N86" s="309">
        <v>2024003630079</v>
      </c>
      <c r="O86" s="298" t="s">
        <v>1515</v>
      </c>
      <c r="P86" s="878" t="s">
        <v>1526</v>
      </c>
      <c r="Q86" s="302">
        <v>9000000</v>
      </c>
      <c r="R86" s="301"/>
      <c r="S86" s="301"/>
      <c r="T86" s="301"/>
      <c r="U86" s="302">
        <f t="shared" si="4"/>
        <v>9000000</v>
      </c>
      <c r="V86" s="784" t="s">
        <v>1527</v>
      </c>
      <c r="W86" s="805">
        <v>20</v>
      </c>
      <c r="X86" s="806" t="s">
        <v>67</v>
      </c>
      <c r="Y86" s="304">
        <v>150</v>
      </c>
      <c r="Z86" s="305" t="s">
        <v>1518</v>
      </c>
      <c r="AA86" s="304"/>
      <c r="AB86" s="304"/>
      <c r="AC86" s="304"/>
      <c r="AD86" s="304"/>
      <c r="AE86" s="304"/>
      <c r="AF86" s="304"/>
      <c r="AG86" s="304"/>
      <c r="AH86" s="304"/>
      <c r="AI86" s="304"/>
      <c r="AJ86" s="304"/>
      <c r="AK86" s="304"/>
      <c r="AL86" s="304"/>
      <c r="AM86" s="304"/>
      <c r="AN86" s="305">
        <f t="shared" si="3"/>
        <v>300</v>
      </c>
      <c r="AO86" s="306">
        <v>46023</v>
      </c>
      <c r="AP86" s="306">
        <v>46387</v>
      </c>
      <c r="AQ86" s="307" t="s">
        <v>1361</v>
      </c>
    </row>
    <row r="87" spans="1:43" ht="129.75" hidden="1">
      <c r="A87" s="294">
        <v>1</v>
      </c>
      <c r="B87" s="295" t="s">
        <v>513</v>
      </c>
      <c r="C87" s="294">
        <v>41</v>
      </c>
      <c r="D87" s="296" t="s">
        <v>1354</v>
      </c>
      <c r="E87" s="297">
        <v>4102</v>
      </c>
      <c r="F87" s="298" t="s">
        <v>1355</v>
      </c>
      <c r="G87" s="294" t="s">
        <v>1496</v>
      </c>
      <c r="H87" s="298" t="s">
        <v>1497</v>
      </c>
      <c r="I87" s="292">
        <v>410204100</v>
      </c>
      <c r="J87" s="298" t="s">
        <v>1498</v>
      </c>
      <c r="K87" s="299">
        <v>12</v>
      </c>
      <c r="L87" s="299"/>
      <c r="M87" s="299">
        <f t="shared" si="2"/>
        <v>12</v>
      </c>
      <c r="N87" s="294">
        <v>2024003630084</v>
      </c>
      <c r="O87" s="298" t="s">
        <v>1528</v>
      </c>
      <c r="P87" s="876" t="s">
        <v>1529</v>
      </c>
      <c r="Q87" s="302">
        <v>28000000</v>
      </c>
      <c r="R87" s="301">
        <f>3000000</f>
        <v>3000000</v>
      </c>
      <c r="S87" s="301"/>
      <c r="T87" s="301"/>
      <c r="U87" s="302">
        <f t="shared" si="4"/>
        <v>28000000</v>
      </c>
      <c r="V87" s="784" t="s">
        <v>1530</v>
      </c>
      <c r="W87" s="805">
        <v>20</v>
      </c>
      <c r="X87" s="806" t="s">
        <v>67</v>
      </c>
      <c r="Y87" s="304">
        <v>794</v>
      </c>
      <c r="Z87" s="305">
        <v>706</v>
      </c>
      <c r="AA87" s="304">
        <v>100</v>
      </c>
      <c r="AB87" s="304">
        <v>790</v>
      </c>
      <c r="AC87" s="304">
        <v>610</v>
      </c>
      <c r="AD87" s="304">
        <v>0</v>
      </c>
      <c r="AE87" s="304">
        <v>50</v>
      </c>
      <c r="AF87" s="304">
        <v>80</v>
      </c>
      <c r="AG87" s="304">
        <v>0</v>
      </c>
      <c r="AH87" s="304">
        <v>0</v>
      </c>
      <c r="AI87" s="304">
        <v>0</v>
      </c>
      <c r="AJ87" s="304">
        <v>0</v>
      </c>
      <c r="AK87" s="304">
        <v>20</v>
      </c>
      <c r="AL87" s="304">
        <v>50</v>
      </c>
      <c r="AM87" s="304">
        <v>0</v>
      </c>
      <c r="AN87" s="305">
        <f t="shared" si="3"/>
        <v>1500</v>
      </c>
      <c r="AO87" s="306">
        <v>46023</v>
      </c>
      <c r="AP87" s="306">
        <v>46387</v>
      </c>
      <c r="AQ87" s="307" t="s">
        <v>1361</v>
      </c>
    </row>
    <row r="88" spans="1:43" ht="128.25" hidden="1">
      <c r="A88" s="294">
        <v>1</v>
      </c>
      <c r="B88" s="295" t="s">
        <v>513</v>
      </c>
      <c r="C88" s="294">
        <v>41</v>
      </c>
      <c r="D88" s="296" t="s">
        <v>1354</v>
      </c>
      <c r="E88" s="297">
        <v>4102</v>
      </c>
      <c r="F88" s="298" t="s">
        <v>1355</v>
      </c>
      <c r="G88" s="294" t="s">
        <v>1496</v>
      </c>
      <c r="H88" s="298" t="s">
        <v>1497</v>
      </c>
      <c r="I88" s="292">
        <v>410204100</v>
      </c>
      <c r="J88" s="298" t="s">
        <v>1498</v>
      </c>
      <c r="K88" s="299">
        <v>12</v>
      </c>
      <c r="L88" s="299"/>
      <c r="M88" s="299">
        <f t="shared" si="2"/>
        <v>12</v>
      </c>
      <c r="N88" s="294">
        <v>2024003630084</v>
      </c>
      <c r="O88" s="298" t="s">
        <v>1528</v>
      </c>
      <c r="P88" s="876" t="s">
        <v>1531</v>
      </c>
      <c r="Q88" s="302">
        <v>55000000</v>
      </c>
      <c r="R88" s="301"/>
      <c r="S88" s="301"/>
      <c r="T88" s="301"/>
      <c r="U88" s="302">
        <f t="shared" si="4"/>
        <v>55000000</v>
      </c>
      <c r="V88" s="784" t="s">
        <v>1530</v>
      </c>
      <c r="W88" s="805">
        <v>20</v>
      </c>
      <c r="X88" s="806" t="s">
        <v>67</v>
      </c>
      <c r="Y88" s="304">
        <v>794</v>
      </c>
      <c r="Z88" s="305">
        <v>706</v>
      </c>
      <c r="AA88" s="304">
        <v>100</v>
      </c>
      <c r="AB88" s="304">
        <v>790</v>
      </c>
      <c r="AC88" s="304">
        <v>610</v>
      </c>
      <c r="AD88" s="304">
        <v>0</v>
      </c>
      <c r="AE88" s="304">
        <v>50</v>
      </c>
      <c r="AF88" s="304">
        <v>80</v>
      </c>
      <c r="AG88" s="304">
        <v>0</v>
      </c>
      <c r="AH88" s="304">
        <v>0</v>
      </c>
      <c r="AI88" s="304">
        <v>0</v>
      </c>
      <c r="AJ88" s="304">
        <v>0</v>
      </c>
      <c r="AK88" s="304">
        <v>20</v>
      </c>
      <c r="AL88" s="304">
        <v>50</v>
      </c>
      <c r="AM88" s="304">
        <v>0</v>
      </c>
      <c r="AN88" s="305">
        <f t="shared" si="3"/>
        <v>1500</v>
      </c>
      <c r="AO88" s="306">
        <v>46023</v>
      </c>
      <c r="AP88" s="306">
        <v>46387</v>
      </c>
      <c r="AQ88" s="307" t="s">
        <v>1361</v>
      </c>
    </row>
    <row r="89" spans="1:43" ht="129.75" hidden="1">
      <c r="A89" s="294">
        <v>1</v>
      </c>
      <c r="B89" s="295" t="s">
        <v>513</v>
      </c>
      <c r="C89" s="294">
        <v>41</v>
      </c>
      <c r="D89" s="296" t="s">
        <v>1354</v>
      </c>
      <c r="E89" s="297">
        <v>4102</v>
      </c>
      <c r="F89" s="298" t="s">
        <v>1355</v>
      </c>
      <c r="G89" s="294" t="s">
        <v>1496</v>
      </c>
      <c r="H89" s="298" t="s">
        <v>1497</v>
      </c>
      <c r="I89" s="292">
        <v>410204100</v>
      </c>
      <c r="J89" s="298" t="s">
        <v>1498</v>
      </c>
      <c r="K89" s="299">
        <v>12</v>
      </c>
      <c r="L89" s="299"/>
      <c r="M89" s="299">
        <f t="shared" si="2"/>
        <v>12</v>
      </c>
      <c r="N89" s="294">
        <v>2024003630084</v>
      </c>
      <c r="O89" s="298" t="s">
        <v>1528</v>
      </c>
      <c r="P89" s="876" t="s">
        <v>1532</v>
      </c>
      <c r="Q89" s="302">
        <v>50000000</v>
      </c>
      <c r="R89" s="301">
        <f>6800000+3000000+2200000+7800000</f>
        <v>19800000</v>
      </c>
      <c r="S89" s="301"/>
      <c r="T89" s="301"/>
      <c r="U89" s="302">
        <f t="shared" si="4"/>
        <v>50000000</v>
      </c>
      <c r="V89" s="784" t="s">
        <v>1530</v>
      </c>
      <c r="W89" s="805">
        <v>20</v>
      </c>
      <c r="X89" s="806" t="s">
        <v>67</v>
      </c>
      <c r="Y89" s="304">
        <v>794</v>
      </c>
      <c r="Z89" s="305">
        <v>706</v>
      </c>
      <c r="AA89" s="304">
        <v>100</v>
      </c>
      <c r="AB89" s="304">
        <v>790</v>
      </c>
      <c r="AC89" s="304">
        <v>610</v>
      </c>
      <c r="AD89" s="304">
        <v>0</v>
      </c>
      <c r="AE89" s="304">
        <v>50</v>
      </c>
      <c r="AF89" s="304">
        <v>80</v>
      </c>
      <c r="AG89" s="304">
        <v>0</v>
      </c>
      <c r="AH89" s="304">
        <v>0</v>
      </c>
      <c r="AI89" s="304">
        <v>0</v>
      </c>
      <c r="AJ89" s="304">
        <v>0</v>
      </c>
      <c r="AK89" s="304">
        <v>20</v>
      </c>
      <c r="AL89" s="304">
        <v>50</v>
      </c>
      <c r="AM89" s="304">
        <v>0</v>
      </c>
      <c r="AN89" s="305">
        <f t="shared" si="3"/>
        <v>1500</v>
      </c>
      <c r="AO89" s="306">
        <v>46023</v>
      </c>
      <c r="AP89" s="306">
        <v>46387</v>
      </c>
      <c r="AQ89" s="307" t="s">
        <v>1361</v>
      </c>
    </row>
    <row r="90" spans="1:43" ht="129.75" hidden="1">
      <c r="A90" s="294">
        <v>1</v>
      </c>
      <c r="B90" s="295" t="s">
        <v>513</v>
      </c>
      <c r="C90" s="294">
        <v>41</v>
      </c>
      <c r="D90" s="296" t="s">
        <v>1354</v>
      </c>
      <c r="E90" s="297">
        <v>4102</v>
      </c>
      <c r="F90" s="298" t="s">
        <v>1355</v>
      </c>
      <c r="G90" s="294" t="s">
        <v>1496</v>
      </c>
      <c r="H90" s="298" t="s">
        <v>1497</v>
      </c>
      <c r="I90" s="292">
        <v>410204100</v>
      </c>
      <c r="J90" s="298" t="s">
        <v>1498</v>
      </c>
      <c r="K90" s="299">
        <v>12</v>
      </c>
      <c r="L90" s="299"/>
      <c r="M90" s="299">
        <f t="shared" si="2"/>
        <v>12</v>
      </c>
      <c r="N90" s="294">
        <v>2024003630084</v>
      </c>
      <c r="O90" s="298" t="s">
        <v>1528</v>
      </c>
      <c r="P90" s="883" t="s">
        <v>1533</v>
      </c>
      <c r="Q90" s="302">
        <v>45000000</v>
      </c>
      <c r="R90" s="301">
        <f>8000000+7800000</f>
        <v>15800000</v>
      </c>
      <c r="S90" s="301"/>
      <c r="T90" s="301"/>
      <c r="U90" s="302">
        <f t="shared" si="4"/>
        <v>45000000</v>
      </c>
      <c r="V90" s="784" t="s">
        <v>1530</v>
      </c>
      <c r="W90" s="805">
        <v>20</v>
      </c>
      <c r="X90" s="806" t="s">
        <v>67</v>
      </c>
      <c r="Y90" s="304">
        <v>794</v>
      </c>
      <c r="Z90" s="305">
        <v>706</v>
      </c>
      <c r="AA90" s="304">
        <v>100</v>
      </c>
      <c r="AB90" s="304">
        <v>790</v>
      </c>
      <c r="AC90" s="304">
        <v>610</v>
      </c>
      <c r="AD90" s="304">
        <v>0</v>
      </c>
      <c r="AE90" s="304">
        <v>50</v>
      </c>
      <c r="AF90" s="304">
        <v>80</v>
      </c>
      <c r="AG90" s="304">
        <v>0</v>
      </c>
      <c r="AH90" s="304">
        <v>0</v>
      </c>
      <c r="AI90" s="304">
        <v>0</v>
      </c>
      <c r="AJ90" s="304">
        <v>0</v>
      </c>
      <c r="AK90" s="304">
        <v>20</v>
      </c>
      <c r="AL90" s="304">
        <v>50</v>
      </c>
      <c r="AM90" s="304">
        <v>0</v>
      </c>
      <c r="AN90" s="305">
        <f t="shared" si="3"/>
        <v>1500</v>
      </c>
      <c r="AO90" s="306">
        <v>46023</v>
      </c>
      <c r="AP90" s="306">
        <v>46387</v>
      </c>
      <c r="AQ90" s="307" t="s">
        <v>1361</v>
      </c>
    </row>
    <row r="91" spans="1:43" ht="128.25" hidden="1">
      <c r="A91" s="294">
        <v>1</v>
      </c>
      <c r="B91" s="295" t="s">
        <v>513</v>
      </c>
      <c r="C91" s="294">
        <v>41</v>
      </c>
      <c r="D91" s="296" t="s">
        <v>1354</v>
      </c>
      <c r="E91" s="297">
        <v>4102</v>
      </c>
      <c r="F91" s="298" t="s">
        <v>1355</v>
      </c>
      <c r="G91" s="294" t="s">
        <v>1496</v>
      </c>
      <c r="H91" s="298" t="s">
        <v>1497</v>
      </c>
      <c r="I91" s="292">
        <v>410204100</v>
      </c>
      <c r="J91" s="298" t="s">
        <v>1498</v>
      </c>
      <c r="K91" s="299">
        <v>12</v>
      </c>
      <c r="L91" s="299"/>
      <c r="M91" s="299">
        <f t="shared" si="2"/>
        <v>12</v>
      </c>
      <c r="N91" s="294">
        <v>2024003630084</v>
      </c>
      <c r="O91" s="298" t="s">
        <v>1528</v>
      </c>
      <c r="P91" s="876" t="s">
        <v>1534</v>
      </c>
      <c r="Q91" s="302">
        <v>15000000</v>
      </c>
      <c r="R91" s="301"/>
      <c r="S91" s="301"/>
      <c r="T91" s="301"/>
      <c r="U91" s="302">
        <f t="shared" si="4"/>
        <v>15000000</v>
      </c>
      <c r="V91" s="784" t="s">
        <v>1535</v>
      </c>
      <c r="W91" s="805">
        <v>20</v>
      </c>
      <c r="X91" s="806" t="s">
        <v>67</v>
      </c>
      <c r="Y91" s="304">
        <v>794</v>
      </c>
      <c r="Z91" s="305">
        <v>706</v>
      </c>
      <c r="AA91" s="304">
        <v>100</v>
      </c>
      <c r="AB91" s="304">
        <v>790</v>
      </c>
      <c r="AC91" s="304">
        <v>610</v>
      </c>
      <c r="AD91" s="304">
        <v>0</v>
      </c>
      <c r="AE91" s="304">
        <v>50</v>
      </c>
      <c r="AF91" s="304">
        <v>80</v>
      </c>
      <c r="AG91" s="304">
        <v>0</v>
      </c>
      <c r="AH91" s="304">
        <v>0</v>
      </c>
      <c r="AI91" s="304">
        <v>0</v>
      </c>
      <c r="AJ91" s="304">
        <v>0</v>
      </c>
      <c r="AK91" s="304">
        <v>20</v>
      </c>
      <c r="AL91" s="304">
        <v>50</v>
      </c>
      <c r="AM91" s="304">
        <v>0</v>
      </c>
      <c r="AN91" s="305">
        <f t="shared" si="3"/>
        <v>1500</v>
      </c>
      <c r="AO91" s="306">
        <v>46023</v>
      </c>
      <c r="AP91" s="306">
        <v>46387</v>
      </c>
      <c r="AQ91" s="307" t="s">
        <v>1361</v>
      </c>
    </row>
    <row r="92" spans="1:43" ht="128.25" hidden="1">
      <c r="A92" s="294">
        <v>1</v>
      </c>
      <c r="B92" s="295" t="s">
        <v>513</v>
      </c>
      <c r="C92" s="294">
        <v>41</v>
      </c>
      <c r="D92" s="296" t="s">
        <v>1354</v>
      </c>
      <c r="E92" s="297">
        <v>4102</v>
      </c>
      <c r="F92" s="298" t="s">
        <v>1355</v>
      </c>
      <c r="G92" s="294" t="s">
        <v>1496</v>
      </c>
      <c r="H92" s="298" t="s">
        <v>1497</v>
      </c>
      <c r="I92" s="292">
        <v>410204100</v>
      </c>
      <c r="J92" s="298" t="s">
        <v>1498</v>
      </c>
      <c r="K92" s="299">
        <v>12</v>
      </c>
      <c r="L92" s="299"/>
      <c r="M92" s="299">
        <f t="shared" si="2"/>
        <v>12</v>
      </c>
      <c r="N92" s="294">
        <v>2024003630084</v>
      </c>
      <c r="O92" s="298" t="s">
        <v>1528</v>
      </c>
      <c r="P92" s="876" t="s">
        <v>1536</v>
      </c>
      <c r="Q92" s="302">
        <v>2000000</v>
      </c>
      <c r="R92" s="301"/>
      <c r="S92" s="301"/>
      <c r="T92" s="301"/>
      <c r="U92" s="302">
        <f t="shared" si="4"/>
        <v>2000000</v>
      </c>
      <c r="V92" s="784" t="s">
        <v>1537</v>
      </c>
      <c r="W92" s="805">
        <v>20</v>
      </c>
      <c r="X92" s="806" t="s">
        <v>67</v>
      </c>
      <c r="Y92" s="304">
        <v>794</v>
      </c>
      <c r="Z92" s="305">
        <v>706</v>
      </c>
      <c r="AA92" s="304">
        <v>100</v>
      </c>
      <c r="AB92" s="304">
        <v>790</v>
      </c>
      <c r="AC92" s="304">
        <v>610</v>
      </c>
      <c r="AD92" s="304">
        <v>0</v>
      </c>
      <c r="AE92" s="304">
        <v>50</v>
      </c>
      <c r="AF92" s="304">
        <v>80</v>
      </c>
      <c r="AG92" s="304">
        <v>0</v>
      </c>
      <c r="AH92" s="304">
        <v>0</v>
      </c>
      <c r="AI92" s="304">
        <v>0</v>
      </c>
      <c r="AJ92" s="304">
        <v>0</v>
      </c>
      <c r="AK92" s="304">
        <v>20</v>
      </c>
      <c r="AL92" s="304">
        <v>50</v>
      </c>
      <c r="AM92" s="304">
        <v>0</v>
      </c>
      <c r="AN92" s="305">
        <f t="shared" si="3"/>
        <v>1500</v>
      </c>
      <c r="AO92" s="306">
        <v>46023</v>
      </c>
      <c r="AP92" s="306">
        <v>46387</v>
      </c>
      <c r="AQ92" s="307" t="s">
        <v>1361</v>
      </c>
    </row>
    <row r="93" spans="1:43" ht="128.25" hidden="1">
      <c r="A93" s="294">
        <v>1</v>
      </c>
      <c r="B93" s="295" t="s">
        <v>513</v>
      </c>
      <c r="C93" s="294">
        <v>41</v>
      </c>
      <c r="D93" s="296" t="s">
        <v>1354</v>
      </c>
      <c r="E93" s="297">
        <v>4102</v>
      </c>
      <c r="F93" s="298" t="s">
        <v>1355</v>
      </c>
      <c r="G93" s="294" t="s">
        <v>1496</v>
      </c>
      <c r="H93" s="298" t="s">
        <v>1497</v>
      </c>
      <c r="I93" s="292">
        <v>410204100</v>
      </c>
      <c r="J93" s="298" t="s">
        <v>1498</v>
      </c>
      <c r="K93" s="299">
        <v>12</v>
      </c>
      <c r="L93" s="299"/>
      <c r="M93" s="299">
        <f t="shared" si="2"/>
        <v>12</v>
      </c>
      <c r="N93" s="294">
        <v>2024003630084</v>
      </c>
      <c r="O93" s="298" t="s">
        <v>1528</v>
      </c>
      <c r="P93" s="876" t="s">
        <v>1538</v>
      </c>
      <c r="Q93" s="302">
        <v>20000000</v>
      </c>
      <c r="R93" s="301"/>
      <c r="S93" s="301"/>
      <c r="T93" s="301"/>
      <c r="U93" s="302">
        <f t="shared" si="4"/>
        <v>20000000</v>
      </c>
      <c r="V93" s="784" t="s">
        <v>1539</v>
      </c>
      <c r="W93" s="805">
        <v>20</v>
      </c>
      <c r="X93" s="806" t="s">
        <v>67</v>
      </c>
      <c r="Y93" s="304">
        <v>794</v>
      </c>
      <c r="Z93" s="305">
        <v>706</v>
      </c>
      <c r="AA93" s="304">
        <v>100</v>
      </c>
      <c r="AB93" s="304">
        <v>790</v>
      </c>
      <c r="AC93" s="304">
        <v>610</v>
      </c>
      <c r="AD93" s="304">
        <v>0</v>
      </c>
      <c r="AE93" s="304">
        <v>50</v>
      </c>
      <c r="AF93" s="304">
        <v>80</v>
      </c>
      <c r="AG93" s="304">
        <v>0</v>
      </c>
      <c r="AH93" s="304">
        <v>0</v>
      </c>
      <c r="AI93" s="304">
        <v>0</v>
      </c>
      <c r="AJ93" s="304">
        <v>0</v>
      </c>
      <c r="AK93" s="304">
        <v>20</v>
      </c>
      <c r="AL93" s="304">
        <v>50</v>
      </c>
      <c r="AM93" s="304">
        <v>0</v>
      </c>
      <c r="AN93" s="305">
        <f t="shared" si="3"/>
        <v>1500</v>
      </c>
      <c r="AO93" s="306">
        <v>46023</v>
      </c>
      <c r="AP93" s="306">
        <v>46387</v>
      </c>
      <c r="AQ93" s="307" t="s">
        <v>1361</v>
      </c>
    </row>
    <row r="94" spans="1:43" ht="128.25" hidden="1">
      <c r="A94" s="294">
        <v>1</v>
      </c>
      <c r="B94" s="295" t="s">
        <v>513</v>
      </c>
      <c r="C94" s="294">
        <v>41</v>
      </c>
      <c r="D94" s="296" t="s">
        <v>1354</v>
      </c>
      <c r="E94" s="297">
        <v>4102</v>
      </c>
      <c r="F94" s="298" t="s">
        <v>1355</v>
      </c>
      <c r="G94" s="294" t="s">
        <v>1496</v>
      </c>
      <c r="H94" s="298" t="s">
        <v>1497</v>
      </c>
      <c r="I94" s="292">
        <v>410204100</v>
      </c>
      <c r="J94" s="298" t="s">
        <v>1498</v>
      </c>
      <c r="K94" s="299">
        <v>12</v>
      </c>
      <c r="L94" s="299"/>
      <c r="M94" s="299">
        <f t="shared" si="2"/>
        <v>12</v>
      </c>
      <c r="N94" s="294">
        <v>2024003630084</v>
      </c>
      <c r="O94" s="298" t="s">
        <v>1528</v>
      </c>
      <c r="P94" s="876" t="s">
        <v>1540</v>
      </c>
      <c r="Q94" s="302">
        <v>10000000</v>
      </c>
      <c r="R94" s="301"/>
      <c r="S94" s="301"/>
      <c r="T94" s="301"/>
      <c r="U94" s="302">
        <f t="shared" si="4"/>
        <v>10000000</v>
      </c>
      <c r="V94" s="784" t="s">
        <v>1535</v>
      </c>
      <c r="W94" s="805">
        <v>20</v>
      </c>
      <c r="X94" s="806" t="s">
        <v>67</v>
      </c>
      <c r="Y94" s="304">
        <v>794</v>
      </c>
      <c r="Z94" s="305">
        <v>706</v>
      </c>
      <c r="AA94" s="304">
        <v>100</v>
      </c>
      <c r="AB94" s="304">
        <v>790</v>
      </c>
      <c r="AC94" s="304">
        <v>610</v>
      </c>
      <c r="AD94" s="304">
        <v>0</v>
      </c>
      <c r="AE94" s="304">
        <v>50</v>
      </c>
      <c r="AF94" s="304">
        <v>80</v>
      </c>
      <c r="AG94" s="304">
        <v>0</v>
      </c>
      <c r="AH94" s="304">
        <v>0</v>
      </c>
      <c r="AI94" s="304">
        <v>0</v>
      </c>
      <c r="AJ94" s="304">
        <v>0</v>
      </c>
      <c r="AK94" s="304">
        <v>20</v>
      </c>
      <c r="AL94" s="304">
        <v>50</v>
      </c>
      <c r="AM94" s="304">
        <v>0</v>
      </c>
      <c r="AN94" s="305">
        <f t="shared" ref="AN94:AN141" si="5">Y94+Z94</f>
        <v>1500</v>
      </c>
      <c r="AO94" s="306">
        <v>46023</v>
      </c>
      <c r="AP94" s="306">
        <v>46387</v>
      </c>
      <c r="AQ94" s="307" t="s">
        <v>1361</v>
      </c>
    </row>
    <row r="95" spans="1:43" ht="99.75" hidden="1">
      <c r="A95" s="294">
        <v>4</v>
      </c>
      <c r="B95" s="295" t="s">
        <v>58</v>
      </c>
      <c r="C95" s="294">
        <v>45</v>
      </c>
      <c r="D95" s="300" t="s">
        <v>59</v>
      </c>
      <c r="E95" s="297">
        <v>4502</v>
      </c>
      <c r="F95" s="298" t="s">
        <v>97</v>
      </c>
      <c r="G95" s="292">
        <v>4502024</v>
      </c>
      <c r="H95" s="298" t="s">
        <v>255</v>
      </c>
      <c r="I95" s="292">
        <v>450202401</v>
      </c>
      <c r="J95" s="298" t="s">
        <v>1541</v>
      </c>
      <c r="K95" s="299">
        <v>1</v>
      </c>
      <c r="L95" s="299"/>
      <c r="M95" s="299">
        <f t="shared" si="2"/>
        <v>1</v>
      </c>
      <c r="N95" s="294">
        <v>2024003630085</v>
      </c>
      <c r="O95" s="298" t="s">
        <v>1542</v>
      </c>
      <c r="P95" s="883" t="s">
        <v>1543</v>
      </c>
      <c r="Q95" s="290">
        <v>130000000</v>
      </c>
      <c r="R95" s="301"/>
      <c r="S95" s="301"/>
      <c r="T95" s="301"/>
      <c r="U95" s="302">
        <f t="shared" si="4"/>
        <v>130000000</v>
      </c>
      <c r="V95" s="784" t="s">
        <v>1544</v>
      </c>
      <c r="W95" s="805">
        <v>20</v>
      </c>
      <c r="X95" s="806" t="s">
        <v>67</v>
      </c>
      <c r="Y95" s="304">
        <v>9</v>
      </c>
      <c r="Z95" s="305"/>
      <c r="AA95" s="304"/>
      <c r="AB95" s="304"/>
      <c r="AC95" s="304"/>
      <c r="AD95" s="304"/>
      <c r="AE95" s="304"/>
      <c r="AF95" s="304"/>
      <c r="AG95" s="304"/>
      <c r="AH95" s="304"/>
      <c r="AI95" s="304"/>
      <c r="AJ95" s="304"/>
      <c r="AK95" s="304"/>
      <c r="AL95" s="304"/>
      <c r="AM95" s="304"/>
      <c r="AN95" s="305">
        <f t="shared" si="5"/>
        <v>9</v>
      </c>
      <c r="AO95" s="306">
        <v>46023</v>
      </c>
      <c r="AP95" s="306">
        <v>46387</v>
      </c>
      <c r="AQ95" s="307" t="s">
        <v>1361</v>
      </c>
    </row>
    <row r="96" spans="1:43" ht="114" hidden="1">
      <c r="A96" s="294">
        <v>4</v>
      </c>
      <c r="B96" s="295" t="s">
        <v>58</v>
      </c>
      <c r="C96" s="294">
        <v>45</v>
      </c>
      <c r="D96" s="300" t="s">
        <v>59</v>
      </c>
      <c r="E96" s="297">
        <v>4502</v>
      </c>
      <c r="F96" s="298" t="s">
        <v>97</v>
      </c>
      <c r="G96" s="292">
        <v>4502024</v>
      </c>
      <c r="H96" s="298" t="s">
        <v>255</v>
      </c>
      <c r="I96" s="292">
        <v>450202401</v>
      </c>
      <c r="J96" s="298" t="s">
        <v>1541</v>
      </c>
      <c r="K96" s="299">
        <v>1</v>
      </c>
      <c r="L96" s="299"/>
      <c r="M96" s="299">
        <f t="shared" si="2"/>
        <v>1</v>
      </c>
      <c r="N96" s="294">
        <v>2024003630085</v>
      </c>
      <c r="O96" s="298" t="s">
        <v>1542</v>
      </c>
      <c r="P96" s="874" t="s">
        <v>1545</v>
      </c>
      <c r="Q96" s="290">
        <v>18000000</v>
      </c>
      <c r="R96" s="301"/>
      <c r="S96" s="301"/>
      <c r="T96" s="301"/>
      <c r="U96" s="302">
        <f t="shared" si="4"/>
        <v>18000000</v>
      </c>
      <c r="V96" s="784" t="s">
        <v>1544</v>
      </c>
      <c r="W96" s="805">
        <v>20</v>
      </c>
      <c r="X96" s="806" t="s">
        <v>67</v>
      </c>
      <c r="Y96" s="304">
        <v>9</v>
      </c>
      <c r="Z96" s="305"/>
      <c r="AA96" s="304"/>
      <c r="AB96" s="304"/>
      <c r="AC96" s="304"/>
      <c r="AD96" s="304"/>
      <c r="AE96" s="304"/>
      <c r="AF96" s="304"/>
      <c r="AG96" s="304"/>
      <c r="AH96" s="304"/>
      <c r="AI96" s="304"/>
      <c r="AJ96" s="304"/>
      <c r="AK96" s="304"/>
      <c r="AL96" s="304"/>
      <c r="AM96" s="304"/>
      <c r="AN96" s="305">
        <f t="shared" si="5"/>
        <v>9</v>
      </c>
      <c r="AO96" s="306">
        <v>46023</v>
      </c>
      <c r="AP96" s="306">
        <v>46387</v>
      </c>
      <c r="AQ96" s="307" t="s">
        <v>1361</v>
      </c>
    </row>
    <row r="97" spans="1:43" ht="142.5" hidden="1">
      <c r="A97" s="294">
        <v>4</v>
      </c>
      <c r="B97" s="295" t="s">
        <v>58</v>
      </c>
      <c r="C97" s="294">
        <v>45</v>
      </c>
      <c r="D97" s="300" t="s">
        <v>59</v>
      </c>
      <c r="E97" s="297">
        <v>4502</v>
      </c>
      <c r="F97" s="298" t="s">
        <v>97</v>
      </c>
      <c r="G97" s="292">
        <v>4502024</v>
      </c>
      <c r="H97" s="298" t="s">
        <v>255</v>
      </c>
      <c r="I97" s="292">
        <v>450202401</v>
      </c>
      <c r="J97" s="298" t="s">
        <v>1541</v>
      </c>
      <c r="K97" s="299">
        <v>1</v>
      </c>
      <c r="L97" s="299"/>
      <c r="M97" s="299">
        <f t="shared" si="2"/>
        <v>1</v>
      </c>
      <c r="N97" s="294">
        <v>2024003630085</v>
      </c>
      <c r="O97" s="298" t="s">
        <v>1542</v>
      </c>
      <c r="P97" s="874" t="s">
        <v>1546</v>
      </c>
      <c r="Q97" s="290">
        <v>7000000</v>
      </c>
      <c r="R97" s="301"/>
      <c r="S97" s="301"/>
      <c r="T97" s="301"/>
      <c r="U97" s="302">
        <f t="shared" si="4"/>
        <v>7000000</v>
      </c>
      <c r="V97" s="784" t="s">
        <v>1544</v>
      </c>
      <c r="W97" s="805">
        <v>20</v>
      </c>
      <c r="X97" s="806" t="s">
        <v>67</v>
      </c>
      <c r="Y97" s="304">
        <v>9</v>
      </c>
      <c r="Z97" s="305"/>
      <c r="AA97" s="304"/>
      <c r="AB97" s="304"/>
      <c r="AC97" s="304"/>
      <c r="AD97" s="304"/>
      <c r="AE97" s="304"/>
      <c r="AF97" s="304"/>
      <c r="AG97" s="304"/>
      <c r="AH97" s="304"/>
      <c r="AI97" s="304"/>
      <c r="AJ97" s="304"/>
      <c r="AK97" s="304"/>
      <c r="AL97" s="304"/>
      <c r="AM97" s="304"/>
      <c r="AN97" s="305">
        <f t="shared" si="5"/>
        <v>9</v>
      </c>
      <c r="AO97" s="306">
        <v>46023</v>
      </c>
      <c r="AP97" s="306">
        <v>46387</v>
      </c>
      <c r="AQ97" s="307" t="s">
        <v>1361</v>
      </c>
    </row>
    <row r="98" spans="1:43" ht="99.75" hidden="1">
      <c r="A98" s="294">
        <v>4</v>
      </c>
      <c r="B98" s="295" t="s">
        <v>58</v>
      </c>
      <c r="C98" s="294">
        <v>45</v>
      </c>
      <c r="D98" s="300" t="s">
        <v>59</v>
      </c>
      <c r="E98" s="297">
        <v>4502</v>
      </c>
      <c r="F98" s="298" t="s">
        <v>97</v>
      </c>
      <c r="G98" s="292">
        <v>4502024</v>
      </c>
      <c r="H98" s="298" t="s">
        <v>255</v>
      </c>
      <c r="I98" s="292">
        <v>450202401</v>
      </c>
      <c r="J98" s="298" t="s">
        <v>1541</v>
      </c>
      <c r="K98" s="299">
        <v>1</v>
      </c>
      <c r="L98" s="299"/>
      <c r="M98" s="299">
        <f t="shared" si="2"/>
        <v>1</v>
      </c>
      <c r="N98" s="294">
        <v>2024003630085</v>
      </c>
      <c r="O98" s="298" t="s">
        <v>1542</v>
      </c>
      <c r="P98" s="878" t="s">
        <v>1547</v>
      </c>
      <c r="Q98" s="290">
        <v>5000000</v>
      </c>
      <c r="R98" s="301"/>
      <c r="S98" s="301"/>
      <c r="T98" s="301"/>
      <c r="U98" s="302">
        <f t="shared" si="4"/>
        <v>5000000</v>
      </c>
      <c r="V98" s="784" t="s">
        <v>1548</v>
      </c>
      <c r="W98" s="805">
        <v>20</v>
      </c>
      <c r="X98" s="806" t="s">
        <v>67</v>
      </c>
      <c r="Y98" s="304">
        <v>9</v>
      </c>
      <c r="Z98" s="305"/>
      <c r="AA98" s="304"/>
      <c r="AB98" s="304"/>
      <c r="AC98" s="304"/>
      <c r="AD98" s="304"/>
      <c r="AE98" s="304"/>
      <c r="AF98" s="304"/>
      <c r="AG98" s="304"/>
      <c r="AH98" s="304"/>
      <c r="AI98" s="304"/>
      <c r="AJ98" s="304"/>
      <c r="AK98" s="304"/>
      <c r="AL98" s="304"/>
      <c r="AM98" s="304"/>
      <c r="AN98" s="305">
        <f t="shared" si="5"/>
        <v>9</v>
      </c>
      <c r="AO98" s="306">
        <v>46023</v>
      </c>
      <c r="AP98" s="306">
        <v>46387</v>
      </c>
      <c r="AQ98" s="307" t="s">
        <v>1361</v>
      </c>
    </row>
    <row r="99" spans="1:43" ht="171" hidden="1">
      <c r="A99" s="294">
        <v>4</v>
      </c>
      <c r="B99" s="295" t="s">
        <v>58</v>
      </c>
      <c r="C99" s="294">
        <v>45</v>
      </c>
      <c r="D99" s="300" t="s">
        <v>59</v>
      </c>
      <c r="E99" s="297">
        <v>4502</v>
      </c>
      <c r="F99" s="298" t="s">
        <v>97</v>
      </c>
      <c r="G99" s="292">
        <v>4502024</v>
      </c>
      <c r="H99" s="298" t="s">
        <v>255</v>
      </c>
      <c r="I99" s="292">
        <v>450202401</v>
      </c>
      <c r="J99" s="298" t="s">
        <v>1541</v>
      </c>
      <c r="K99" s="299">
        <v>1</v>
      </c>
      <c r="L99" s="299"/>
      <c r="M99" s="299">
        <f t="shared" si="2"/>
        <v>1</v>
      </c>
      <c r="N99" s="309">
        <v>2024003630086</v>
      </c>
      <c r="O99" s="298" t="s">
        <v>1549</v>
      </c>
      <c r="P99" s="884" t="s">
        <v>1550</v>
      </c>
      <c r="Q99" s="302">
        <v>10000000</v>
      </c>
      <c r="R99" s="301"/>
      <c r="S99" s="301"/>
      <c r="T99" s="301"/>
      <c r="U99" s="302">
        <f t="shared" si="4"/>
        <v>10000000</v>
      </c>
      <c r="V99" s="784" t="s">
        <v>1551</v>
      </c>
      <c r="W99" s="805">
        <v>20</v>
      </c>
      <c r="X99" s="806" t="s">
        <v>67</v>
      </c>
      <c r="Y99" s="304">
        <v>1000</v>
      </c>
      <c r="Z99" s="305"/>
      <c r="AA99" s="304"/>
      <c r="AB99" s="304"/>
      <c r="AC99" s="304"/>
      <c r="AD99" s="304"/>
      <c r="AE99" s="304"/>
      <c r="AF99" s="304"/>
      <c r="AG99" s="304"/>
      <c r="AH99" s="304"/>
      <c r="AI99" s="304"/>
      <c r="AJ99" s="304"/>
      <c r="AK99" s="304"/>
      <c r="AL99" s="304"/>
      <c r="AM99" s="304"/>
      <c r="AN99" s="305">
        <f t="shared" si="5"/>
        <v>1000</v>
      </c>
      <c r="AO99" s="306">
        <v>46023</v>
      </c>
      <c r="AP99" s="306">
        <v>46387</v>
      </c>
      <c r="AQ99" s="307" t="s">
        <v>1361</v>
      </c>
    </row>
    <row r="100" spans="1:43" ht="128.25" hidden="1">
      <c r="A100" s="294">
        <v>4</v>
      </c>
      <c r="B100" s="295" t="s">
        <v>58</v>
      </c>
      <c r="C100" s="294">
        <v>45</v>
      </c>
      <c r="D100" s="300" t="s">
        <v>59</v>
      </c>
      <c r="E100" s="297">
        <v>4502</v>
      </c>
      <c r="F100" s="298" t="s">
        <v>97</v>
      </c>
      <c r="G100" s="292">
        <v>4502024</v>
      </c>
      <c r="H100" s="298" t="s">
        <v>255</v>
      </c>
      <c r="I100" s="292">
        <v>450202401</v>
      </c>
      <c r="J100" s="298" t="s">
        <v>1541</v>
      </c>
      <c r="K100" s="299">
        <v>1</v>
      </c>
      <c r="L100" s="299"/>
      <c r="M100" s="299">
        <f>K100+L100</f>
        <v>1</v>
      </c>
      <c r="N100" s="309">
        <v>2024003630086</v>
      </c>
      <c r="O100" s="298" t="s">
        <v>1549</v>
      </c>
      <c r="P100" s="874" t="s">
        <v>1552</v>
      </c>
      <c r="Q100" s="302">
        <v>14000000</v>
      </c>
      <c r="R100" s="301"/>
      <c r="S100" s="301"/>
      <c r="T100" s="301"/>
      <c r="U100" s="302">
        <f t="shared" si="4"/>
        <v>14000000</v>
      </c>
      <c r="V100" s="784" t="s">
        <v>1551</v>
      </c>
      <c r="W100" s="805">
        <v>20</v>
      </c>
      <c r="X100" s="806" t="s">
        <v>67</v>
      </c>
      <c r="Y100" s="304">
        <v>1000</v>
      </c>
      <c r="Z100" s="305"/>
      <c r="AA100" s="304"/>
      <c r="AB100" s="304"/>
      <c r="AC100" s="304"/>
      <c r="AD100" s="304"/>
      <c r="AE100" s="304"/>
      <c r="AF100" s="304"/>
      <c r="AG100" s="304"/>
      <c r="AH100" s="304"/>
      <c r="AI100" s="304"/>
      <c r="AJ100" s="304"/>
      <c r="AK100" s="304"/>
      <c r="AL100" s="304"/>
      <c r="AM100" s="304"/>
      <c r="AN100" s="305">
        <f t="shared" si="5"/>
        <v>1000</v>
      </c>
      <c r="AO100" s="306">
        <v>46023</v>
      </c>
      <c r="AP100" s="306">
        <v>46387</v>
      </c>
      <c r="AQ100" s="307" t="s">
        <v>1361</v>
      </c>
    </row>
    <row r="101" spans="1:43" ht="99.75" hidden="1">
      <c r="A101" s="294">
        <v>4</v>
      </c>
      <c r="B101" s="295" t="s">
        <v>58</v>
      </c>
      <c r="C101" s="294">
        <v>45</v>
      </c>
      <c r="D101" s="300" t="s">
        <v>59</v>
      </c>
      <c r="E101" s="297">
        <v>4502</v>
      </c>
      <c r="F101" s="298" t="s">
        <v>97</v>
      </c>
      <c r="G101" s="292">
        <v>4502024</v>
      </c>
      <c r="H101" s="298" t="s">
        <v>255</v>
      </c>
      <c r="I101" s="292">
        <v>450202401</v>
      </c>
      <c r="J101" s="298" t="s">
        <v>1541</v>
      </c>
      <c r="K101" s="299">
        <v>1</v>
      </c>
      <c r="L101" s="299"/>
      <c r="M101" s="299">
        <f>K101+L101</f>
        <v>1</v>
      </c>
      <c r="N101" s="309">
        <v>2024003630086</v>
      </c>
      <c r="O101" s="298" t="s">
        <v>1549</v>
      </c>
      <c r="P101" s="874" t="s">
        <v>1553</v>
      </c>
      <c r="Q101" s="302">
        <v>18000000</v>
      </c>
      <c r="R101" s="301"/>
      <c r="S101" s="301"/>
      <c r="T101" s="301"/>
      <c r="U101" s="302">
        <f t="shared" si="4"/>
        <v>18000000</v>
      </c>
      <c r="V101" s="784" t="s">
        <v>1551</v>
      </c>
      <c r="W101" s="805">
        <v>20</v>
      </c>
      <c r="X101" s="806" t="s">
        <v>67</v>
      </c>
      <c r="Y101" s="304">
        <v>1000</v>
      </c>
      <c r="Z101" s="305"/>
      <c r="AA101" s="304"/>
      <c r="AB101" s="304"/>
      <c r="AC101" s="304"/>
      <c r="AD101" s="304"/>
      <c r="AE101" s="304"/>
      <c r="AF101" s="304"/>
      <c r="AG101" s="304"/>
      <c r="AH101" s="304"/>
      <c r="AI101" s="304"/>
      <c r="AJ101" s="304"/>
      <c r="AK101" s="304"/>
      <c r="AL101" s="304"/>
      <c r="AM101" s="304"/>
      <c r="AN101" s="305">
        <f t="shared" si="5"/>
        <v>1000</v>
      </c>
      <c r="AO101" s="306">
        <v>46023</v>
      </c>
      <c r="AP101" s="306">
        <v>46387</v>
      </c>
      <c r="AQ101" s="307" t="s">
        <v>1361</v>
      </c>
    </row>
    <row r="102" spans="1:43" ht="99.75" hidden="1">
      <c r="A102" s="294">
        <v>4</v>
      </c>
      <c r="B102" s="295" t="s">
        <v>58</v>
      </c>
      <c r="C102" s="294">
        <v>45</v>
      </c>
      <c r="D102" s="300" t="s">
        <v>59</v>
      </c>
      <c r="E102" s="297">
        <v>4502</v>
      </c>
      <c r="F102" s="298" t="s">
        <v>97</v>
      </c>
      <c r="G102" s="292">
        <v>4502024</v>
      </c>
      <c r="H102" s="298" t="s">
        <v>255</v>
      </c>
      <c r="I102" s="292">
        <v>450202401</v>
      </c>
      <c r="J102" s="298" t="s">
        <v>1541</v>
      </c>
      <c r="K102" s="299">
        <v>1</v>
      </c>
      <c r="L102" s="299"/>
      <c r="M102" s="299">
        <f>K102+L102</f>
        <v>1</v>
      </c>
      <c r="N102" s="309">
        <v>2024003630086</v>
      </c>
      <c r="O102" s="298" t="s">
        <v>1549</v>
      </c>
      <c r="P102" s="874" t="s">
        <v>1554</v>
      </c>
      <c r="Q102" s="302">
        <v>21000000</v>
      </c>
      <c r="R102" s="301"/>
      <c r="S102" s="301"/>
      <c r="T102" s="301"/>
      <c r="U102" s="302">
        <f t="shared" si="4"/>
        <v>21000000</v>
      </c>
      <c r="V102" s="784" t="s">
        <v>1551</v>
      </c>
      <c r="W102" s="805">
        <v>20</v>
      </c>
      <c r="X102" s="806" t="s">
        <v>67</v>
      </c>
      <c r="Y102" s="304">
        <v>1000</v>
      </c>
      <c r="Z102" s="305"/>
      <c r="AA102" s="304"/>
      <c r="AB102" s="304"/>
      <c r="AC102" s="304"/>
      <c r="AD102" s="304"/>
      <c r="AE102" s="304"/>
      <c r="AF102" s="304"/>
      <c r="AG102" s="304"/>
      <c r="AH102" s="304"/>
      <c r="AI102" s="304"/>
      <c r="AJ102" s="304"/>
      <c r="AK102" s="304"/>
      <c r="AL102" s="304"/>
      <c r="AM102" s="304"/>
      <c r="AN102" s="305">
        <f t="shared" si="5"/>
        <v>1000</v>
      </c>
      <c r="AO102" s="306">
        <v>46023</v>
      </c>
      <c r="AP102" s="306">
        <v>46387</v>
      </c>
      <c r="AQ102" s="307" t="s">
        <v>1361</v>
      </c>
    </row>
    <row r="103" spans="1:43" ht="99.75" hidden="1">
      <c r="A103" s="294">
        <v>4</v>
      </c>
      <c r="B103" s="295" t="s">
        <v>58</v>
      </c>
      <c r="C103" s="294">
        <v>45</v>
      </c>
      <c r="D103" s="300" t="s">
        <v>59</v>
      </c>
      <c r="E103" s="297">
        <v>4502</v>
      </c>
      <c r="F103" s="298" t="s">
        <v>97</v>
      </c>
      <c r="G103" s="292">
        <v>4502024</v>
      </c>
      <c r="H103" s="298" t="s">
        <v>255</v>
      </c>
      <c r="I103" s="292">
        <v>450202401</v>
      </c>
      <c r="J103" s="298" t="s">
        <v>1541</v>
      </c>
      <c r="K103" s="299">
        <v>1</v>
      </c>
      <c r="L103" s="299"/>
      <c r="M103" s="299">
        <f>K103+L103</f>
        <v>1</v>
      </c>
      <c r="N103" s="309">
        <v>2024003630086</v>
      </c>
      <c r="O103" s="298" t="s">
        <v>1549</v>
      </c>
      <c r="P103" s="874" t="s">
        <v>1555</v>
      </c>
      <c r="Q103" s="302">
        <v>2000000</v>
      </c>
      <c r="R103" s="301"/>
      <c r="S103" s="301"/>
      <c r="T103" s="301"/>
      <c r="U103" s="302">
        <f t="shared" si="4"/>
        <v>2000000</v>
      </c>
      <c r="V103" s="784" t="s">
        <v>1556</v>
      </c>
      <c r="W103" s="805">
        <v>20</v>
      </c>
      <c r="X103" s="806" t="s">
        <v>67</v>
      </c>
      <c r="Y103" s="304">
        <v>1000</v>
      </c>
      <c r="Z103" s="305"/>
      <c r="AA103" s="304"/>
      <c r="AB103" s="304"/>
      <c r="AC103" s="304"/>
      <c r="AD103" s="304"/>
      <c r="AE103" s="304"/>
      <c r="AF103" s="304"/>
      <c r="AG103" s="304"/>
      <c r="AH103" s="304"/>
      <c r="AI103" s="304"/>
      <c r="AJ103" s="304"/>
      <c r="AK103" s="304"/>
      <c r="AL103" s="304"/>
      <c r="AM103" s="304"/>
      <c r="AN103" s="305">
        <f t="shared" si="5"/>
        <v>1000</v>
      </c>
      <c r="AO103" s="306">
        <v>46023</v>
      </c>
      <c r="AP103" s="306">
        <v>46387</v>
      </c>
      <c r="AQ103" s="307" t="s">
        <v>1361</v>
      </c>
    </row>
    <row r="104" spans="1:43" ht="99.75" hidden="1">
      <c r="A104" s="294">
        <v>4</v>
      </c>
      <c r="B104" s="295" t="s">
        <v>58</v>
      </c>
      <c r="C104" s="294">
        <v>45</v>
      </c>
      <c r="D104" s="300" t="s">
        <v>59</v>
      </c>
      <c r="E104" s="297">
        <v>4502</v>
      </c>
      <c r="F104" s="298" t="s">
        <v>97</v>
      </c>
      <c r="G104" s="292">
        <v>4502024</v>
      </c>
      <c r="H104" s="298" t="s">
        <v>255</v>
      </c>
      <c r="I104" s="292">
        <v>450202401</v>
      </c>
      <c r="J104" s="298" t="s">
        <v>1541</v>
      </c>
      <c r="K104" s="299">
        <v>1</v>
      </c>
      <c r="L104" s="299"/>
      <c r="M104" s="299">
        <f>K104+L104</f>
        <v>1</v>
      </c>
      <c r="N104" s="309">
        <v>2024003630086</v>
      </c>
      <c r="O104" s="298" t="s">
        <v>1549</v>
      </c>
      <c r="P104" s="874" t="s">
        <v>1557</v>
      </c>
      <c r="Q104" s="302">
        <v>5000000</v>
      </c>
      <c r="R104" s="301"/>
      <c r="S104" s="301"/>
      <c r="T104" s="301"/>
      <c r="U104" s="302">
        <f t="shared" si="4"/>
        <v>5000000</v>
      </c>
      <c r="V104" s="784" t="s">
        <v>1558</v>
      </c>
      <c r="W104" s="805">
        <v>20</v>
      </c>
      <c r="X104" s="806" t="s">
        <v>67</v>
      </c>
      <c r="Y104" s="304">
        <v>1000</v>
      </c>
      <c r="Z104" s="305"/>
      <c r="AA104" s="304"/>
      <c r="AB104" s="304"/>
      <c r="AC104" s="304"/>
      <c r="AD104" s="304"/>
      <c r="AE104" s="304"/>
      <c r="AF104" s="304"/>
      <c r="AG104" s="304"/>
      <c r="AH104" s="304"/>
      <c r="AI104" s="304"/>
      <c r="AJ104" s="304"/>
      <c r="AK104" s="304"/>
      <c r="AL104" s="304"/>
      <c r="AM104" s="304"/>
      <c r="AN104" s="305">
        <f t="shared" si="5"/>
        <v>1000</v>
      </c>
      <c r="AO104" s="306">
        <v>46023</v>
      </c>
      <c r="AP104" s="306">
        <v>46387</v>
      </c>
      <c r="AQ104" s="307" t="s">
        <v>1361</v>
      </c>
    </row>
    <row r="105" spans="1:43" ht="86.25">
      <c r="A105" s="294">
        <v>1</v>
      </c>
      <c r="B105" s="298" t="s">
        <v>513</v>
      </c>
      <c r="C105" s="294">
        <v>19</v>
      </c>
      <c r="D105" s="300" t="s">
        <v>1559</v>
      </c>
      <c r="E105" s="297">
        <v>1905</v>
      </c>
      <c r="F105" s="298" t="s">
        <v>1560</v>
      </c>
      <c r="G105" s="807">
        <v>1905021</v>
      </c>
      <c r="H105" s="808" t="s">
        <v>1561</v>
      </c>
      <c r="I105" s="791">
        <v>190502100</v>
      </c>
      <c r="J105" s="298" t="s">
        <v>1562</v>
      </c>
      <c r="K105" s="809">
        <v>12</v>
      </c>
      <c r="L105" s="809"/>
      <c r="M105" s="809">
        <f t="shared" ref="M105:M122" si="6">+K105+L105</f>
        <v>12</v>
      </c>
      <c r="N105" s="294">
        <v>2024003630087</v>
      </c>
      <c r="O105" s="885" t="s">
        <v>1563</v>
      </c>
      <c r="P105" s="876" t="s">
        <v>1564</v>
      </c>
      <c r="Q105" s="302">
        <v>39500000</v>
      </c>
      <c r="R105" s="301">
        <f>4000000+8000000</f>
        <v>12000000</v>
      </c>
      <c r="S105" s="301"/>
      <c r="T105" s="301"/>
      <c r="U105" s="302">
        <f t="shared" si="4"/>
        <v>39500000</v>
      </c>
      <c r="V105" s="784" t="s">
        <v>1565</v>
      </c>
      <c r="W105" s="294">
        <v>20</v>
      </c>
      <c r="X105" s="300" t="s">
        <v>67</v>
      </c>
      <c r="Y105" s="785">
        <v>875</v>
      </c>
      <c r="Z105" s="785">
        <v>875</v>
      </c>
      <c r="AA105" s="785">
        <v>600</v>
      </c>
      <c r="AB105" s="785">
        <v>600</v>
      </c>
      <c r="AC105" s="785">
        <v>200</v>
      </c>
      <c r="AD105" s="785">
        <v>300</v>
      </c>
      <c r="AE105" s="304"/>
      <c r="AF105" s="304"/>
      <c r="AG105" s="304"/>
      <c r="AH105" s="304"/>
      <c r="AI105" s="304"/>
      <c r="AJ105" s="304"/>
      <c r="AK105" s="304"/>
      <c r="AL105" s="304">
        <v>50</v>
      </c>
      <c r="AM105" s="304"/>
      <c r="AN105" s="305">
        <f t="shared" si="5"/>
        <v>1750</v>
      </c>
      <c r="AO105" s="306">
        <v>46023</v>
      </c>
      <c r="AP105" s="306">
        <v>46387</v>
      </c>
      <c r="AQ105" s="307" t="s">
        <v>1361</v>
      </c>
    </row>
    <row r="106" spans="1:43" ht="85.5">
      <c r="A106" s="294">
        <v>1</v>
      </c>
      <c r="B106" s="298" t="s">
        <v>513</v>
      </c>
      <c r="C106" s="294">
        <v>19</v>
      </c>
      <c r="D106" s="300" t="s">
        <v>1559</v>
      </c>
      <c r="E106" s="297">
        <v>1905</v>
      </c>
      <c r="F106" s="298" t="s">
        <v>1560</v>
      </c>
      <c r="G106" s="807">
        <v>1905022</v>
      </c>
      <c r="H106" s="808" t="s">
        <v>1566</v>
      </c>
      <c r="I106" s="791">
        <v>190502200</v>
      </c>
      <c r="J106" s="298" t="s">
        <v>1567</v>
      </c>
      <c r="K106" s="809">
        <v>12</v>
      </c>
      <c r="L106" s="809"/>
      <c r="M106" s="809">
        <f t="shared" si="6"/>
        <v>12</v>
      </c>
      <c r="N106" s="294">
        <v>2024003630087</v>
      </c>
      <c r="O106" s="885" t="s">
        <v>1563</v>
      </c>
      <c r="P106" s="876" t="s">
        <v>1568</v>
      </c>
      <c r="Q106" s="302">
        <v>19500000</v>
      </c>
      <c r="R106" s="301"/>
      <c r="S106" s="301"/>
      <c r="T106" s="301"/>
      <c r="U106" s="302">
        <f t="shared" si="4"/>
        <v>19500000</v>
      </c>
      <c r="V106" s="784" t="s">
        <v>1569</v>
      </c>
      <c r="W106" s="294">
        <v>20</v>
      </c>
      <c r="X106" s="300" t="s">
        <v>67</v>
      </c>
      <c r="Y106" s="785">
        <v>875</v>
      </c>
      <c r="Z106" s="785">
        <v>875</v>
      </c>
      <c r="AA106" s="785">
        <v>600</v>
      </c>
      <c r="AB106" s="785">
        <v>600</v>
      </c>
      <c r="AC106" s="785">
        <v>200</v>
      </c>
      <c r="AD106" s="785">
        <v>300</v>
      </c>
      <c r="AE106" s="304"/>
      <c r="AF106" s="304"/>
      <c r="AG106" s="304"/>
      <c r="AH106" s="304"/>
      <c r="AI106" s="304"/>
      <c r="AJ106" s="304"/>
      <c r="AK106" s="304"/>
      <c r="AL106" s="304">
        <v>50</v>
      </c>
      <c r="AM106" s="304"/>
      <c r="AN106" s="305">
        <f t="shared" si="5"/>
        <v>1750</v>
      </c>
      <c r="AO106" s="306">
        <v>46023</v>
      </c>
      <c r="AP106" s="306">
        <v>46387</v>
      </c>
      <c r="AQ106" s="307" t="s">
        <v>1361</v>
      </c>
    </row>
    <row r="107" spans="1:43" ht="85.5">
      <c r="A107" s="294">
        <v>1</v>
      </c>
      <c r="B107" s="298" t="s">
        <v>513</v>
      </c>
      <c r="C107" s="294">
        <v>19</v>
      </c>
      <c r="D107" s="300" t="s">
        <v>1559</v>
      </c>
      <c r="E107" s="297">
        <v>1905</v>
      </c>
      <c r="F107" s="298" t="s">
        <v>1560</v>
      </c>
      <c r="G107" s="807">
        <v>1905022</v>
      </c>
      <c r="H107" s="808" t="s">
        <v>1566</v>
      </c>
      <c r="I107" s="791">
        <v>190502200</v>
      </c>
      <c r="J107" s="298" t="s">
        <v>1567</v>
      </c>
      <c r="K107" s="809">
        <v>12</v>
      </c>
      <c r="L107" s="809"/>
      <c r="M107" s="809">
        <f t="shared" si="6"/>
        <v>12</v>
      </c>
      <c r="N107" s="294">
        <v>2024003630087</v>
      </c>
      <c r="O107" s="885" t="s">
        <v>1563</v>
      </c>
      <c r="P107" s="876" t="s">
        <v>1570</v>
      </c>
      <c r="Q107" s="302">
        <v>20000000</v>
      </c>
      <c r="R107" s="301"/>
      <c r="S107" s="301"/>
      <c r="T107" s="301"/>
      <c r="U107" s="302">
        <f t="shared" si="4"/>
        <v>20000000</v>
      </c>
      <c r="V107" s="784" t="s">
        <v>1571</v>
      </c>
      <c r="W107" s="294">
        <v>20</v>
      </c>
      <c r="X107" s="300" t="s">
        <v>67</v>
      </c>
      <c r="Y107" s="785">
        <v>875</v>
      </c>
      <c r="Z107" s="785">
        <v>875</v>
      </c>
      <c r="AA107" s="785">
        <v>600</v>
      </c>
      <c r="AB107" s="785">
        <v>600</v>
      </c>
      <c r="AC107" s="785">
        <v>200</v>
      </c>
      <c r="AD107" s="785">
        <v>300</v>
      </c>
      <c r="AE107" s="304"/>
      <c r="AF107" s="304"/>
      <c r="AG107" s="304"/>
      <c r="AH107" s="304"/>
      <c r="AI107" s="304"/>
      <c r="AJ107" s="304"/>
      <c r="AK107" s="304"/>
      <c r="AL107" s="304">
        <v>50</v>
      </c>
      <c r="AM107" s="304"/>
      <c r="AN107" s="305">
        <f t="shared" si="5"/>
        <v>1750</v>
      </c>
      <c r="AO107" s="306">
        <v>46023</v>
      </c>
      <c r="AP107" s="306">
        <v>46387</v>
      </c>
      <c r="AQ107" s="307" t="s">
        <v>1361</v>
      </c>
    </row>
    <row r="108" spans="1:43" ht="85.5">
      <c r="A108" s="294">
        <v>1</v>
      </c>
      <c r="B108" s="298" t="s">
        <v>513</v>
      </c>
      <c r="C108" s="294">
        <v>19</v>
      </c>
      <c r="D108" s="300" t="s">
        <v>1559</v>
      </c>
      <c r="E108" s="297">
        <v>1905</v>
      </c>
      <c r="F108" s="298" t="s">
        <v>1560</v>
      </c>
      <c r="G108" s="807">
        <v>1905022</v>
      </c>
      <c r="H108" s="808" t="s">
        <v>1566</v>
      </c>
      <c r="I108" s="791">
        <v>190502200</v>
      </c>
      <c r="J108" s="298" t="s">
        <v>1567</v>
      </c>
      <c r="K108" s="809">
        <v>12</v>
      </c>
      <c r="L108" s="809"/>
      <c r="M108" s="809">
        <f t="shared" si="6"/>
        <v>12</v>
      </c>
      <c r="N108" s="294">
        <v>2024003630087</v>
      </c>
      <c r="O108" s="885" t="s">
        <v>1563</v>
      </c>
      <c r="P108" s="876" t="s">
        <v>1572</v>
      </c>
      <c r="Q108" s="302">
        <v>2500000</v>
      </c>
      <c r="R108" s="301"/>
      <c r="S108" s="301"/>
      <c r="T108" s="301"/>
      <c r="U108" s="302">
        <f t="shared" si="4"/>
        <v>2500000</v>
      </c>
      <c r="V108" s="784" t="s">
        <v>1573</v>
      </c>
      <c r="W108" s="294">
        <v>20</v>
      </c>
      <c r="X108" s="300" t="s">
        <v>67</v>
      </c>
      <c r="Y108" s="785">
        <v>875</v>
      </c>
      <c r="Z108" s="785">
        <v>875</v>
      </c>
      <c r="AA108" s="785">
        <v>600</v>
      </c>
      <c r="AB108" s="785">
        <v>600</v>
      </c>
      <c r="AC108" s="785">
        <v>200</v>
      </c>
      <c r="AD108" s="785">
        <v>300</v>
      </c>
      <c r="AE108" s="304"/>
      <c r="AF108" s="304"/>
      <c r="AG108" s="304"/>
      <c r="AH108" s="304"/>
      <c r="AI108" s="304"/>
      <c r="AJ108" s="304"/>
      <c r="AK108" s="304"/>
      <c r="AL108" s="304">
        <v>50</v>
      </c>
      <c r="AM108" s="304"/>
      <c r="AN108" s="305">
        <f t="shared" si="5"/>
        <v>1750</v>
      </c>
      <c r="AO108" s="306">
        <v>46023</v>
      </c>
      <c r="AP108" s="306">
        <v>46387</v>
      </c>
      <c r="AQ108" s="307" t="s">
        <v>1361</v>
      </c>
    </row>
    <row r="109" spans="1:43" ht="85.5">
      <c r="A109" s="294">
        <v>1</v>
      </c>
      <c r="B109" s="298" t="s">
        <v>513</v>
      </c>
      <c r="C109" s="294">
        <v>19</v>
      </c>
      <c r="D109" s="300" t="s">
        <v>1559</v>
      </c>
      <c r="E109" s="297">
        <v>1905</v>
      </c>
      <c r="F109" s="298" t="s">
        <v>1560</v>
      </c>
      <c r="G109" s="807">
        <v>1905022</v>
      </c>
      <c r="H109" s="808" t="s">
        <v>1566</v>
      </c>
      <c r="I109" s="791">
        <v>190502200</v>
      </c>
      <c r="J109" s="298" t="s">
        <v>1567</v>
      </c>
      <c r="K109" s="809">
        <v>12</v>
      </c>
      <c r="L109" s="809"/>
      <c r="M109" s="809">
        <f t="shared" si="6"/>
        <v>12</v>
      </c>
      <c r="N109" s="294">
        <v>2024003630087</v>
      </c>
      <c r="O109" s="885" t="s">
        <v>1563</v>
      </c>
      <c r="P109" s="876" t="s">
        <v>1574</v>
      </c>
      <c r="Q109" s="302">
        <v>3500000</v>
      </c>
      <c r="R109" s="301"/>
      <c r="S109" s="301"/>
      <c r="T109" s="301"/>
      <c r="U109" s="302">
        <f t="shared" si="4"/>
        <v>3500000</v>
      </c>
      <c r="V109" s="789" t="s">
        <v>1575</v>
      </c>
      <c r="W109" s="294">
        <v>20</v>
      </c>
      <c r="X109" s="300" t="s">
        <v>67</v>
      </c>
      <c r="Y109" s="785">
        <v>875</v>
      </c>
      <c r="Z109" s="785">
        <v>875</v>
      </c>
      <c r="AA109" s="785">
        <v>600</v>
      </c>
      <c r="AB109" s="785">
        <v>600</v>
      </c>
      <c r="AC109" s="785">
        <v>200</v>
      </c>
      <c r="AD109" s="785">
        <v>300</v>
      </c>
      <c r="AE109" s="304"/>
      <c r="AF109" s="304"/>
      <c r="AG109" s="304"/>
      <c r="AH109" s="304"/>
      <c r="AI109" s="304"/>
      <c r="AJ109" s="304"/>
      <c r="AK109" s="304"/>
      <c r="AL109" s="304">
        <v>50</v>
      </c>
      <c r="AM109" s="304"/>
      <c r="AN109" s="305">
        <f t="shared" si="5"/>
        <v>1750</v>
      </c>
      <c r="AO109" s="306">
        <v>46023</v>
      </c>
      <c r="AP109" s="306">
        <v>46387</v>
      </c>
      <c r="AQ109" s="307" t="s">
        <v>1361</v>
      </c>
    </row>
    <row r="110" spans="1:43" ht="85.5">
      <c r="A110" s="294">
        <v>1</v>
      </c>
      <c r="B110" s="298" t="s">
        <v>513</v>
      </c>
      <c r="C110" s="294">
        <v>19</v>
      </c>
      <c r="D110" s="300" t="s">
        <v>1559</v>
      </c>
      <c r="E110" s="297">
        <v>1905</v>
      </c>
      <c r="F110" s="298" t="s">
        <v>1560</v>
      </c>
      <c r="G110" s="807">
        <v>1905022</v>
      </c>
      <c r="H110" s="808" t="s">
        <v>1566</v>
      </c>
      <c r="I110" s="791">
        <v>190502200</v>
      </c>
      <c r="J110" s="298" t="s">
        <v>1567</v>
      </c>
      <c r="K110" s="809">
        <v>12</v>
      </c>
      <c r="L110" s="809"/>
      <c r="M110" s="809">
        <f t="shared" si="6"/>
        <v>12</v>
      </c>
      <c r="N110" s="294">
        <v>2024003630087</v>
      </c>
      <c r="O110" s="885" t="s">
        <v>1563</v>
      </c>
      <c r="P110" s="873" t="s">
        <v>1576</v>
      </c>
      <c r="Q110" s="302">
        <v>5000000</v>
      </c>
      <c r="R110" s="301"/>
      <c r="S110" s="301"/>
      <c r="T110" s="301"/>
      <c r="U110" s="302">
        <f t="shared" si="4"/>
        <v>5000000</v>
      </c>
      <c r="V110" s="789" t="s">
        <v>1575</v>
      </c>
      <c r="W110" s="294">
        <v>20</v>
      </c>
      <c r="X110" s="300" t="s">
        <v>67</v>
      </c>
      <c r="Y110" s="785">
        <v>875</v>
      </c>
      <c r="Z110" s="785">
        <v>875</v>
      </c>
      <c r="AA110" s="785">
        <v>600</v>
      </c>
      <c r="AB110" s="785">
        <v>600</v>
      </c>
      <c r="AC110" s="785">
        <v>200</v>
      </c>
      <c r="AD110" s="785">
        <v>300</v>
      </c>
      <c r="AE110" s="304"/>
      <c r="AF110" s="304"/>
      <c r="AG110" s="304"/>
      <c r="AH110" s="304"/>
      <c r="AI110" s="304"/>
      <c r="AJ110" s="304"/>
      <c r="AK110" s="304"/>
      <c r="AL110" s="304">
        <v>50</v>
      </c>
      <c r="AM110" s="304"/>
      <c r="AN110" s="305">
        <f t="shared" si="5"/>
        <v>1750</v>
      </c>
      <c r="AO110" s="306">
        <v>46023</v>
      </c>
      <c r="AP110" s="306">
        <v>46387</v>
      </c>
      <c r="AQ110" s="307" t="s">
        <v>1361</v>
      </c>
    </row>
    <row r="111" spans="1:43" ht="71.25" hidden="1">
      <c r="A111" s="294">
        <v>1</v>
      </c>
      <c r="B111" s="295" t="s">
        <v>513</v>
      </c>
      <c r="C111" s="294">
        <v>41</v>
      </c>
      <c r="D111" s="296" t="s">
        <v>1354</v>
      </c>
      <c r="E111" s="297">
        <v>4103</v>
      </c>
      <c r="F111" s="298" t="s">
        <v>318</v>
      </c>
      <c r="G111" s="294">
        <v>4103050</v>
      </c>
      <c r="H111" s="298" t="s">
        <v>1577</v>
      </c>
      <c r="I111" s="791">
        <v>410305001</v>
      </c>
      <c r="J111" s="792" t="s">
        <v>1578</v>
      </c>
      <c r="K111" s="809">
        <v>12</v>
      </c>
      <c r="L111" s="809"/>
      <c r="M111" s="809">
        <f t="shared" si="6"/>
        <v>12</v>
      </c>
      <c r="N111" s="294">
        <v>2024003630092</v>
      </c>
      <c r="O111" s="792" t="s">
        <v>1579</v>
      </c>
      <c r="P111" s="876" t="s">
        <v>1580</v>
      </c>
      <c r="Q111" s="302">
        <v>41000000</v>
      </c>
      <c r="R111" s="301">
        <f>6000000+8800000</f>
        <v>14800000</v>
      </c>
      <c r="S111" s="301"/>
      <c r="T111" s="301"/>
      <c r="U111" s="302">
        <f t="shared" si="4"/>
        <v>41000000</v>
      </c>
      <c r="V111" s="784" t="s">
        <v>1581</v>
      </c>
      <c r="W111" s="294">
        <v>20</v>
      </c>
      <c r="X111" s="300" t="s">
        <v>67</v>
      </c>
      <c r="Y111" s="785">
        <v>316</v>
      </c>
      <c r="Z111" s="785">
        <v>184</v>
      </c>
      <c r="AA111" s="785"/>
      <c r="AB111" s="785">
        <v>69</v>
      </c>
      <c r="AC111" s="785">
        <v>431</v>
      </c>
      <c r="AD111" s="785"/>
      <c r="AE111" s="785"/>
      <c r="AF111" s="785"/>
      <c r="AG111" s="785"/>
      <c r="AH111" s="785"/>
      <c r="AI111" s="785"/>
      <c r="AJ111" s="785"/>
      <c r="AK111" s="785"/>
      <c r="AL111" s="785">
        <v>79</v>
      </c>
      <c r="AM111" s="785"/>
      <c r="AN111" s="305">
        <f t="shared" si="5"/>
        <v>500</v>
      </c>
      <c r="AO111" s="306">
        <v>46023</v>
      </c>
      <c r="AP111" s="306">
        <v>46387</v>
      </c>
      <c r="AQ111" s="307" t="s">
        <v>1361</v>
      </c>
    </row>
    <row r="112" spans="1:43" ht="71.25" hidden="1">
      <c r="A112" s="294">
        <v>1</v>
      </c>
      <c r="B112" s="295" t="s">
        <v>513</v>
      </c>
      <c r="C112" s="294">
        <v>41</v>
      </c>
      <c r="D112" s="296" t="s">
        <v>1354</v>
      </c>
      <c r="E112" s="297">
        <v>4103</v>
      </c>
      <c r="F112" s="298" t="s">
        <v>318</v>
      </c>
      <c r="G112" s="294">
        <v>4103050</v>
      </c>
      <c r="H112" s="298" t="s">
        <v>1577</v>
      </c>
      <c r="I112" s="791">
        <v>410305001</v>
      </c>
      <c r="J112" s="792" t="s">
        <v>1578</v>
      </c>
      <c r="K112" s="809">
        <v>12</v>
      </c>
      <c r="L112" s="809"/>
      <c r="M112" s="809">
        <f t="shared" si="6"/>
        <v>12</v>
      </c>
      <c r="N112" s="294">
        <v>2024003630092</v>
      </c>
      <c r="O112" s="792" t="s">
        <v>1579</v>
      </c>
      <c r="P112" s="876" t="s">
        <v>1582</v>
      </c>
      <c r="Q112" s="302">
        <v>36000000</v>
      </c>
      <c r="R112" s="301">
        <v>4000000</v>
      </c>
      <c r="S112" s="301"/>
      <c r="T112" s="301"/>
      <c r="U112" s="302">
        <f t="shared" si="4"/>
        <v>36000000</v>
      </c>
      <c r="V112" s="784" t="s">
        <v>1581</v>
      </c>
      <c r="W112" s="294">
        <v>20</v>
      </c>
      <c r="X112" s="300" t="s">
        <v>67</v>
      </c>
      <c r="Y112" s="785">
        <v>316</v>
      </c>
      <c r="Z112" s="785">
        <v>184</v>
      </c>
      <c r="AA112" s="785"/>
      <c r="AB112" s="785">
        <v>69</v>
      </c>
      <c r="AC112" s="785">
        <v>431</v>
      </c>
      <c r="AD112" s="785"/>
      <c r="AE112" s="785"/>
      <c r="AF112" s="785"/>
      <c r="AG112" s="785"/>
      <c r="AH112" s="785"/>
      <c r="AI112" s="785"/>
      <c r="AJ112" s="785"/>
      <c r="AK112" s="785"/>
      <c r="AL112" s="785">
        <v>79</v>
      </c>
      <c r="AM112" s="785"/>
      <c r="AN112" s="305">
        <f t="shared" si="5"/>
        <v>500</v>
      </c>
      <c r="AO112" s="306">
        <v>46023</v>
      </c>
      <c r="AP112" s="306">
        <v>46387</v>
      </c>
      <c r="AQ112" s="307" t="s">
        <v>1361</v>
      </c>
    </row>
    <row r="113" spans="1:43" ht="71.25" hidden="1">
      <c r="A113" s="294">
        <v>1</v>
      </c>
      <c r="B113" s="295" t="s">
        <v>513</v>
      </c>
      <c r="C113" s="294">
        <v>41</v>
      </c>
      <c r="D113" s="296" t="s">
        <v>1354</v>
      </c>
      <c r="E113" s="297">
        <v>4103</v>
      </c>
      <c r="F113" s="298" t="s">
        <v>318</v>
      </c>
      <c r="G113" s="294">
        <v>4103050</v>
      </c>
      <c r="H113" s="298" t="s">
        <v>1577</v>
      </c>
      <c r="I113" s="791">
        <v>410305001</v>
      </c>
      <c r="J113" s="792" t="s">
        <v>1578</v>
      </c>
      <c r="K113" s="809">
        <v>12</v>
      </c>
      <c r="L113" s="809"/>
      <c r="M113" s="809">
        <f t="shared" si="6"/>
        <v>12</v>
      </c>
      <c r="N113" s="294">
        <v>2024003630092</v>
      </c>
      <c r="O113" s="792" t="s">
        <v>1579</v>
      </c>
      <c r="P113" s="876" t="s">
        <v>1583</v>
      </c>
      <c r="Q113" s="302">
        <v>5000000</v>
      </c>
      <c r="R113" s="301"/>
      <c r="S113" s="301"/>
      <c r="T113" s="301"/>
      <c r="U113" s="302">
        <f t="shared" si="4"/>
        <v>5000000</v>
      </c>
      <c r="V113" s="784" t="s">
        <v>1584</v>
      </c>
      <c r="W113" s="294">
        <v>20</v>
      </c>
      <c r="X113" s="300" t="s">
        <v>67</v>
      </c>
      <c r="Y113" s="785">
        <v>316</v>
      </c>
      <c r="Z113" s="785">
        <v>184</v>
      </c>
      <c r="AA113" s="785"/>
      <c r="AB113" s="785">
        <v>69</v>
      </c>
      <c r="AC113" s="785">
        <v>431</v>
      </c>
      <c r="AD113" s="785"/>
      <c r="AE113" s="785"/>
      <c r="AF113" s="785"/>
      <c r="AG113" s="785"/>
      <c r="AH113" s="785"/>
      <c r="AI113" s="785"/>
      <c r="AJ113" s="785"/>
      <c r="AK113" s="785"/>
      <c r="AL113" s="785">
        <v>79</v>
      </c>
      <c r="AM113" s="785"/>
      <c r="AN113" s="305">
        <f t="shared" si="5"/>
        <v>500</v>
      </c>
      <c r="AO113" s="306">
        <v>46023</v>
      </c>
      <c r="AP113" s="306">
        <v>46387</v>
      </c>
      <c r="AQ113" s="307" t="s">
        <v>1361</v>
      </c>
    </row>
    <row r="114" spans="1:43" ht="71.25" hidden="1">
      <c r="A114" s="294">
        <v>1</v>
      </c>
      <c r="B114" s="295" t="s">
        <v>513</v>
      </c>
      <c r="C114" s="294">
        <v>41</v>
      </c>
      <c r="D114" s="296" t="s">
        <v>1354</v>
      </c>
      <c r="E114" s="297">
        <v>4103</v>
      </c>
      <c r="F114" s="298" t="s">
        <v>318</v>
      </c>
      <c r="G114" s="294">
        <v>4103058</v>
      </c>
      <c r="H114" s="298" t="s">
        <v>1585</v>
      </c>
      <c r="I114" s="791">
        <v>410305800</v>
      </c>
      <c r="J114" s="792" t="s">
        <v>1586</v>
      </c>
      <c r="K114" s="809">
        <v>15</v>
      </c>
      <c r="L114" s="809"/>
      <c r="M114" s="809">
        <f t="shared" si="6"/>
        <v>15</v>
      </c>
      <c r="N114" s="294">
        <v>2024003630092</v>
      </c>
      <c r="O114" s="792" t="s">
        <v>1579</v>
      </c>
      <c r="P114" s="874" t="s">
        <v>1587</v>
      </c>
      <c r="Q114" s="302">
        <v>28000000</v>
      </c>
      <c r="R114" s="301"/>
      <c r="S114" s="301"/>
      <c r="T114" s="301"/>
      <c r="U114" s="302">
        <f t="shared" si="4"/>
        <v>28000000</v>
      </c>
      <c r="V114" s="784" t="s">
        <v>1588</v>
      </c>
      <c r="W114" s="294">
        <v>20</v>
      </c>
      <c r="X114" s="300" t="s">
        <v>67</v>
      </c>
      <c r="Y114" s="785">
        <v>316</v>
      </c>
      <c r="Z114" s="785">
        <v>184</v>
      </c>
      <c r="AA114" s="785"/>
      <c r="AB114" s="785">
        <v>69</v>
      </c>
      <c r="AC114" s="785">
        <v>431</v>
      </c>
      <c r="AD114" s="785"/>
      <c r="AE114" s="785"/>
      <c r="AF114" s="785"/>
      <c r="AG114" s="785"/>
      <c r="AH114" s="785"/>
      <c r="AI114" s="785"/>
      <c r="AJ114" s="785"/>
      <c r="AK114" s="785"/>
      <c r="AL114" s="785">
        <v>79</v>
      </c>
      <c r="AM114" s="785"/>
      <c r="AN114" s="305">
        <f t="shared" si="5"/>
        <v>500</v>
      </c>
      <c r="AO114" s="306">
        <v>46023</v>
      </c>
      <c r="AP114" s="306">
        <v>46387</v>
      </c>
      <c r="AQ114" s="307" t="s">
        <v>1361</v>
      </c>
    </row>
    <row r="115" spans="1:43" ht="71.25" hidden="1">
      <c r="A115" s="294">
        <v>1</v>
      </c>
      <c r="B115" s="295" t="s">
        <v>513</v>
      </c>
      <c r="C115" s="294">
        <v>41</v>
      </c>
      <c r="D115" s="296" t="s">
        <v>1354</v>
      </c>
      <c r="E115" s="297">
        <v>4103</v>
      </c>
      <c r="F115" s="298" t="s">
        <v>318</v>
      </c>
      <c r="G115" s="294">
        <v>4103059</v>
      </c>
      <c r="H115" s="298" t="s">
        <v>1589</v>
      </c>
      <c r="I115" s="791">
        <v>410305900</v>
      </c>
      <c r="J115" s="792" t="s">
        <v>1590</v>
      </c>
      <c r="K115" s="809">
        <v>30</v>
      </c>
      <c r="L115" s="809"/>
      <c r="M115" s="809">
        <f t="shared" si="6"/>
        <v>30</v>
      </c>
      <c r="N115" s="294">
        <v>2024003630092</v>
      </c>
      <c r="O115" s="792" t="s">
        <v>1579</v>
      </c>
      <c r="P115" s="876" t="s">
        <v>1591</v>
      </c>
      <c r="Q115" s="302">
        <v>14000000</v>
      </c>
      <c r="R115" s="301">
        <f>2000000+3000000</f>
        <v>5000000</v>
      </c>
      <c r="S115" s="301"/>
      <c r="T115" s="301"/>
      <c r="U115" s="302">
        <f t="shared" si="4"/>
        <v>14000000</v>
      </c>
      <c r="V115" s="784" t="s">
        <v>1592</v>
      </c>
      <c r="W115" s="294">
        <v>20</v>
      </c>
      <c r="X115" s="300" t="s">
        <v>67</v>
      </c>
      <c r="Y115" s="785">
        <v>316</v>
      </c>
      <c r="Z115" s="785">
        <v>184</v>
      </c>
      <c r="AA115" s="785"/>
      <c r="AB115" s="785">
        <v>69</v>
      </c>
      <c r="AC115" s="785">
        <v>431</v>
      </c>
      <c r="AD115" s="785"/>
      <c r="AE115" s="785"/>
      <c r="AF115" s="785"/>
      <c r="AG115" s="785"/>
      <c r="AH115" s="785"/>
      <c r="AI115" s="785"/>
      <c r="AJ115" s="785"/>
      <c r="AK115" s="785"/>
      <c r="AL115" s="785">
        <v>79</v>
      </c>
      <c r="AM115" s="785"/>
      <c r="AN115" s="305">
        <f t="shared" si="5"/>
        <v>500</v>
      </c>
      <c r="AO115" s="306">
        <v>46023</v>
      </c>
      <c r="AP115" s="306">
        <v>46387</v>
      </c>
      <c r="AQ115" s="307" t="s">
        <v>1361</v>
      </c>
    </row>
    <row r="116" spans="1:43" ht="71.25" hidden="1">
      <c r="A116" s="294">
        <v>1</v>
      </c>
      <c r="B116" s="295" t="s">
        <v>513</v>
      </c>
      <c r="C116" s="294">
        <v>41</v>
      </c>
      <c r="D116" s="296" t="s">
        <v>1354</v>
      </c>
      <c r="E116" s="297">
        <v>4103</v>
      </c>
      <c r="F116" s="298" t="s">
        <v>318</v>
      </c>
      <c r="G116" s="294">
        <v>4103059</v>
      </c>
      <c r="H116" s="298" t="s">
        <v>1589</v>
      </c>
      <c r="I116" s="791">
        <v>410305900</v>
      </c>
      <c r="J116" s="792" t="s">
        <v>1590</v>
      </c>
      <c r="K116" s="809">
        <v>30</v>
      </c>
      <c r="L116" s="809"/>
      <c r="M116" s="809">
        <f t="shared" si="6"/>
        <v>30</v>
      </c>
      <c r="N116" s="294">
        <v>2024003630092</v>
      </c>
      <c r="O116" s="792" t="s">
        <v>1579</v>
      </c>
      <c r="P116" s="876" t="s">
        <v>1593</v>
      </c>
      <c r="Q116" s="302">
        <v>14000000</v>
      </c>
      <c r="R116" s="301">
        <v>3000000</v>
      </c>
      <c r="S116" s="301"/>
      <c r="T116" s="301"/>
      <c r="U116" s="302">
        <f t="shared" si="4"/>
        <v>14000000</v>
      </c>
      <c r="V116" s="784" t="s">
        <v>1592</v>
      </c>
      <c r="W116" s="294">
        <v>20</v>
      </c>
      <c r="X116" s="300" t="s">
        <v>67</v>
      </c>
      <c r="Y116" s="785">
        <v>316</v>
      </c>
      <c r="Z116" s="785">
        <v>184</v>
      </c>
      <c r="AA116" s="785"/>
      <c r="AB116" s="785">
        <v>69</v>
      </c>
      <c r="AC116" s="785">
        <v>431</v>
      </c>
      <c r="AD116" s="785"/>
      <c r="AE116" s="785"/>
      <c r="AF116" s="785"/>
      <c r="AG116" s="785"/>
      <c r="AH116" s="785"/>
      <c r="AI116" s="785"/>
      <c r="AJ116" s="785"/>
      <c r="AK116" s="785"/>
      <c r="AL116" s="785">
        <v>79</v>
      </c>
      <c r="AM116" s="785"/>
      <c r="AN116" s="305">
        <f t="shared" si="5"/>
        <v>500</v>
      </c>
      <c r="AO116" s="306">
        <v>46023</v>
      </c>
      <c r="AP116" s="306">
        <v>46387</v>
      </c>
      <c r="AQ116" s="307" t="s">
        <v>1361</v>
      </c>
    </row>
    <row r="117" spans="1:43" ht="99.75" hidden="1">
      <c r="A117" s="294">
        <v>4</v>
      </c>
      <c r="B117" s="295" t="s">
        <v>58</v>
      </c>
      <c r="C117" s="294">
        <v>45</v>
      </c>
      <c r="D117" s="300" t="s">
        <v>59</v>
      </c>
      <c r="E117" s="297">
        <v>4502</v>
      </c>
      <c r="F117" s="298" t="s">
        <v>97</v>
      </c>
      <c r="G117" s="807">
        <v>4502038</v>
      </c>
      <c r="H117" s="298" t="s">
        <v>1513</v>
      </c>
      <c r="I117" s="294">
        <v>450203800</v>
      </c>
      <c r="J117" s="298" t="s">
        <v>1514</v>
      </c>
      <c r="K117" s="809">
        <v>1</v>
      </c>
      <c r="L117" s="809"/>
      <c r="M117" s="809">
        <f t="shared" si="6"/>
        <v>1</v>
      </c>
      <c r="N117" s="309">
        <v>2024003630102</v>
      </c>
      <c r="O117" s="298" t="s">
        <v>1594</v>
      </c>
      <c r="P117" s="874" t="s">
        <v>1595</v>
      </c>
      <c r="Q117" s="302">
        <v>80000000</v>
      </c>
      <c r="R117" s="301"/>
      <c r="S117" s="301"/>
      <c r="T117" s="301"/>
      <c r="U117" s="302">
        <f t="shared" si="4"/>
        <v>80000000</v>
      </c>
      <c r="V117" s="784" t="s">
        <v>1596</v>
      </c>
      <c r="W117" s="805">
        <v>20</v>
      </c>
      <c r="X117" s="806" t="s">
        <v>67</v>
      </c>
      <c r="Y117" s="304">
        <v>3500</v>
      </c>
      <c r="Z117" s="305"/>
      <c r="AA117" s="304"/>
      <c r="AB117" s="304"/>
      <c r="AC117" s="304"/>
      <c r="AD117" s="304"/>
      <c r="AE117" s="304"/>
      <c r="AF117" s="304"/>
      <c r="AG117" s="304"/>
      <c r="AH117" s="304"/>
      <c r="AI117" s="304"/>
      <c r="AJ117" s="304"/>
      <c r="AK117" s="304"/>
      <c r="AL117" s="304"/>
      <c r="AM117" s="304"/>
      <c r="AN117" s="305">
        <f t="shared" si="5"/>
        <v>3500</v>
      </c>
      <c r="AO117" s="306">
        <v>46023</v>
      </c>
      <c r="AP117" s="306">
        <v>46387</v>
      </c>
      <c r="AQ117" s="307" t="s">
        <v>1361</v>
      </c>
    </row>
    <row r="118" spans="1:43" ht="99.75" hidden="1">
      <c r="A118" s="294">
        <v>4</v>
      </c>
      <c r="B118" s="295" t="s">
        <v>58</v>
      </c>
      <c r="C118" s="294">
        <v>45</v>
      </c>
      <c r="D118" s="300" t="s">
        <v>59</v>
      </c>
      <c r="E118" s="297">
        <v>4502</v>
      </c>
      <c r="F118" s="298" t="s">
        <v>97</v>
      </c>
      <c r="G118" s="807">
        <v>4502038</v>
      </c>
      <c r="H118" s="298" t="s">
        <v>1513</v>
      </c>
      <c r="I118" s="294">
        <v>450203800</v>
      </c>
      <c r="J118" s="298" t="s">
        <v>1514</v>
      </c>
      <c r="K118" s="809">
        <v>1</v>
      </c>
      <c r="L118" s="809"/>
      <c r="M118" s="809">
        <f t="shared" si="6"/>
        <v>1</v>
      </c>
      <c r="N118" s="309">
        <v>2024003630102</v>
      </c>
      <c r="O118" s="298" t="s">
        <v>1594</v>
      </c>
      <c r="P118" s="874" t="s">
        <v>1597</v>
      </c>
      <c r="Q118" s="302">
        <v>79000000</v>
      </c>
      <c r="R118" s="301"/>
      <c r="S118" s="301"/>
      <c r="T118" s="301"/>
      <c r="U118" s="302">
        <f t="shared" si="4"/>
        <v>79000000</v>
      </c>
      <c r="V118" s="784" t="s">
        <v>1596</v>
      </c>
      <c r="W118" s="805">
        <v>20</v>
      </c>
      <c r="X118" s="806" t="s">
        <v>67</v>
      </c>
      <c r="Y118" s="304">
        <v>3500</v>
      </c>
      <c r="Z118" s="305"/>
      <c r="AA118" s="304"/>
      <c r="AB118" s="304"/>
      <c r="AC118" s="304"/>
      <c r="AD118" s="304"/>
      <c r="AE118" s="304"/>
      <c r="AF118" s="304"/>
      <c r="AG118" s="304"/>
      <c r="AH118" s="304"/>
      <c r="AI118" s="304"/>
      <c r="AJ118" s="304"/>
      <c r="AK118" s="304"/>
      <c r="AL118" s="304"/>
      <c r="AM118" s="304"/>
      <c r="AN118" s="305">
        <f t="shared" si="5"/>
        <v>3500</v>
      </c>
      <c r="AO118" s="306">
        <v>46023</v>
      </c>
      <c r="AP118" s="306">
        <v>46387</v>
      </c>
      <c r="AQ118" s="307" t="s">
        <v>1361</v>
      </c>
    </row>
    <row r="119" spans="1:43" ht="99.75" hidden="1">
      <c r="A119" s="294">
        <v>4</v>
      </c>
      <c r="B119" s="295" t="s">
        <v>58</v>
      </c>
      <c r="C119" s="294">
        <v>45</v>
      </c>
      <c r="D119" s="300" t="s">
        <v>59</v>
      </c>
      <c r="E119" s="297">
        <v>4502</v>
      </c>
      <c r="F119" s="298" t="s">
        <v>97</v>
      </c>
      <c r="G119" s="807">
        <v>4502038</v>
      </c>
      <c r="H119" s="298" t="s">
        <v>1513</v>
      </c>
      <c r="I119" s="294">
        <v>450203800</v>
      </c>
      <c r="J119" s="298" t="s">
        <v>1514</v>
      </c>
      <c r="K119" s="809">
        <v>1</v>
      </c>
      <c r="L119" s="809"/>
      <c r="M119" s="809">
        <f t="shared" si="6"/>
        <v>1</v>
      </c>
      <c r="N119" s="309">
        <v>2024003630102</v>
      </c>
      <c r="O119" s="298" t="s">
        <v>1594</v>
      </c>
      <c r="P119" s="878" t="s">
        <v>1598</v>
      </c>
      <c r="Q119" s="302">
        <v>6000000</v>
      </c>
      <c r="R119" s="301"/>
      <c r="S119" s="301"/>
      <c r="T119" s="301"/>
      <c r="U119" s="302">
        <f t="shared" si="4"/>
        <v>6000000</v>
      </c>
      <c r="V119" s="784" t="s">
        <v>1599</v>
      </c>
      <c r="W119" s="805">
        <v>20</v>
      </c>
      <c r="X119" s="806" t="s">
        <v>67</v>
      </c>
      <c r="Y119" s="304">
        <v>3500</v>
      </c>
      <c r="Z119" s="305"/>
      <c r="AA119" s="304"/>
      <c r="AB119" s="304"/>
      <c r="AC119" s="304"/>
      <c r="AD119" s="304"/>
      <c r="AE119" s="304"/>
      <c r="AF119" s="304"/>
      <c r="AG119" s="304"/>
      <c r="AH119" s="304"/>
      <c r="AI119" s="304"/>
      <c r="AJ119" s="304"/>
      <c r="AK119" s="304"/>
      <c r="AL119" s="304"/>
      <c r="AM119" s="304"/>
      <c r="AN119" s="305">
        <f t="shared" si="5"/>
        <v>3500</v>
      </c>
      <c r="AO119" s="306">
        <v>46023</v>
      </c>
      <c r="AP119" s="306">
        <v>46387</v>
      </c>
      <c r="AQ119" s="307" t="s">
        <v>1361</v>
      </c>
    </row>
    <row r="120" spans="1:43" ht="99.75" hidden="1">
      <c r="A120" s="294">
        <v>4</v>
      </c>
      <c r="B120" s="295" t="s">
        <v>58</v>
      </c>
      <c r="C120" s="294">
        <v>45</v>
      </c>
      <c r="D120" s="300" t="s">
        <v>59</v>
      </c>
      <c r="E120" s="297">
        <v>4502</v>
      </c>
      <c r="F120" s="298" t="s">
        <v>97</v>
      </c>
      <c r="G120" s="807">
        <v>4502038</v>
      </c>
      <c r="H120" s="298" t="s">
        <v>1513</v>
      </c>
      <c r="I120" s="294">
        <v>450203800</v>
      </c>
      <c r="J120" s="298" t="s">
        <v>1514</v>
      </c>
      <c r="K120" s="809">
        <v>1</v>
      </c>
      <c r="L120" s="809"/>
      <c r="M120" s="809">
        <f t="shared" si="6"/>
        <v>1</v>
      </c>
      <c r="N120" s="309">
        <v>2024003630102</v>
      </c>
      <c r="O120" s="298" t="s">
        <v>1594</v>
      </c>
      <c r="P120" s="878" t="s">
        <v>1600</v>
      </c>
      <c r="Q120" s="302">
        <v>12000000</v>
      </c>
      <c r="R120" s="301"/>
      <c r="S120" s="301"/>
      <c r="T120" s="301"/>
      <c r="U120" s="302">
        <f t="shared" si="4"/>
        <v>12000000</v>
      </c>
      <c r="V120" s="784" t="s">
        <v>1601</v>
      </c>
      <c r="W120" s="805">
        <v>20</v>
      </c>
      <c r="X120" s="806" t="s">
        <v>67</v>
      </c>
      <c r="Y120" s="304">
        <v>3500</v>
      </c>
      <c r="Z120" s="305"/>
      <c r="AA120" s="304"/>
      <c r="AB120" s="304"/>
      <c r="AC120" s="304"/>
      <c r="AD120" s="304"/>
      <c r="AE120" s="304"/>
      <c r="AF120" s="304"/>
      <c r="AG120" s="304"/>
      <c r="AH120" s="304"/>
      <c r="AI120" s="304"/>
      <c r="AJ120" s="304"/>
      <c r="AK120" s="304"/>
      <c r="AL120" s="304"/>
      <c r="AM120" s="304"/>
      <c r="AN120" s="305">
        <f t="shared" si="5"/>
        <v>3500</v>
      </c>
      <c r="AO120" s="306">
        <v>46023</v>
      </c>
      <c r="AP120" s="306">
        <v>46387</v>
      </c>
      <c r="AQ120" s="307" t="s">
        <v>1361</v>
      </c>
    </row>
    <row r="121" spans="1:43" ht="99.75" hidden="1">
      <c r="A121" s="294">
        <v>4</v>
      </c>
      <c r="B121" s="295" t="s">
        <v>58</v>
      </c>
      <c r="C121" s="294">
        <v>45</v>
      </c>
      <c r="D121" s="300" t="s">
        <v>59</v>
      </c>
      <c r="E121" s="297">
        <v>4502</v>
      </c>
      <c r="F121" s="298" t="s">
        <v>97</v>
      </c>
      <c r="G121" s="807">
        <v>4502038</v>
      </c>
      <c r="H121" s="298" t="s">
        <v>1513</v>
      </c>
      <c r="I121" s="294">
        <v>450203800</v>
      </c>
      <c r="J121" s="298" t="s">
        <v>1514</v>
      </c>
      <c r="K121" s="809">
        <v>1</v>
      </c>
      <c r="L121" s="809"/>
      <c r="M121" s="809">
        <f t="shared" si="6"/>
        <v>1</v>
      </c>
      <c r="N121" s="309">
        <v>2024003630102</v>
      </c>
      <c r="O121" s="298" t="s">
        <v>1594</v>
      </c>
      <c r="P121" s="878" t="s">
        <v>1602</v>
      </c>
      <c r="Q121" s="302">
        <v>3000000</v>
      </c>
      <c r="R121" s="301"/>
      <c r="S121" s="301"/>
      <c r="T121" s="301"/>
      <c r="U121" s="302">
        <f t="shared" si="4"/>
        <v>3000000</v>
      </c>
      <c r="V121" s="784" t="s">
        <v>1603</v>
      </c>
      <c r="W121" s="805">
        <v>20</v>
      </c>
      <c r="X121" s="806" t="s">
        <v>67</v>
      </c>
      <c r="Y121" s="304">
        <v>3500</v>
      </c>
      <c r="Z121" s="305"/>
      <c r="AA121" s="304"/>
      <c r="AB121" s="304"/>
      <c r="AC121" s="304"/>
      <c r="AD121" s="304"/>
      <c r="AE121" s="304"/>
      <c r="AF121" s="304"/>
      <c r="AG121" s="304"/>
      <c r="AH121" s="304"/>
      <c r="AI121" s="304"/>
      <c r="AJ121" s="304"/>
      <c r="AK121" s="304"/>
      <c r="AL121" s="304"/>
      <c r="AM121" s="304"/>
      <c r="AN121" s="305">
        <f t="shared" si="5"/>
        <v>3500</v>
      </c>
      <c r="AO121" s="306">
        <v>46023</v>
      </c>
      <c r="AP121" s="306">
        <v>46387</v>
      </c>
      <c r="AQ121" s="307" t="s">
        <v>1361</v>
      </c>
    </row>
    <row r="122" spans="1:43" ht="129.75">
      <c r="A122" s="294">
        <v>1</v>
      </c>
      <c r="B122" s="295" t="s">
        <v>513</v>
      </c>
      <c r="C122" s="294">
        <v>41</v>
      </c>
      <c r="D122" s="296" t="s">
        <v>1354</v>
      </c>
      <c r="E122" s="297">
        <v>4102</v>
      </c>
      <c r="F122" s="298" t="s">
        <v>1355</v>
      </c>
      <c r="G122" s="292">
        <v>4102001</v>
      </c>
      <c r="H122" s="298" t="s">
        <v>1604</v>
      </c>
      <c r="I122" s="292">
        <v>410200100</v>
      </c>
      <c r="J122" s="792" t="s">
        <v>1605</v>
      </c>
      <c r="K122" s="809">
        <v>75</v>
      </c>
      <c r="L122" s="809"/>
      <c r="M122" s="809">
        <f t="shared" si="6"/>
        <v>75</v>
      </c>
      <c r="N122" s="143">
        <v>2024003630106</v>
      </c>
      <c r="O122" s="885" t="s">
        <v>1606</v>
      </c>
      <c r="P122" s="298" t="s">
        <v>1607</v>
      </c>
      <c r="Q122" s="290">
        <v>50000000</v>
      </c>
      <c r="R122" s="301">
        <f>2000000+4500000+3500000</f>
        <v>10000000</v>
      </c>
      <c r="S122" s="301"/>
      <c r="T122" s="301"/>
      <c r="U122" s="302">
        <f t="shared" si="4"/>
        <v>50000000</v>
      </c>
      <c r="V122" s="784" t="s">
        <v>1608</v>
      </c>
      <c r="W122" s="294">
        <v>20</v>
      </c>
      <c r="X122" s="300" t="s">
        <v>67</v>
      </c>
      <c r="Y122" s="810">
        <v>2510</v>
      </c>
      <c r="Z122" s="810">
        <v>2509</v>
      </c>
      <c r="AA122" s="304">
        <v>2756</v>
      </c>
      <c r="AB122" s="304">
        <v>1500</v>
      </c>
      <c r="AC122" s="304">
        <v>763</v>
      </c>
      <c r="AD122" s="304"/>
      <c r="AE122" s="304"/>
      <c r="AF122" s="304"/>
      <c r="AG122" s="304"/>
      <c r="AH122" s="304"/>
      <c r="AI122" s="304"/>
      <c r="AJ122" s="304"/>
      <c r="AK122" s="304"/>
      <c r="AL122" s="304"/>
      <c r="AM122" s="304"/>
      <c r="AN122" s="305">
        <f t="shared" si="5"/>
        <v>5019</v>
      </c>
      <c r="AO122" s="306">
        <v>46023</v>
      </c>
      <c r="AP122" s="306">
        <v>46387</v>
      </c>
      <c r="AQ122" s="307" t="s">
        <v>1361</v>
      </c>
    </row>
    <row r="123" spans="1:43" ht="129.75">
      <c r="A123" s="294">
        <v>1</v>
      </c>
      <c r="B123" s="295" t="s">
        <v>513</v>
      </c>
      <c r="C123" s="294">
        <v>41</v>
      </c>
      <c r="D123" s="296" t="s">
        <v>1354</v>
      </c>
      <c r="E123" s="297">
        <v>4102</v>
      </c>
      <c r="F123" s="298" t="s">
        <v>1355</v>
      </c>
      <c r="G123" s="292">
        <v>4102001</v>
      </c>
      <c r="H123" s="298" t="s">
        <v>1604</v>
      </c>
      <c r="I123" s="292">
        <v>410200100</v>
      </c>
      <c r="J123" s="792" t="s">
        <v>1605</v>
      </c>
      <c r="K123" s="809">
        <v>75</v>
      </c>
      <c r="L123" s="809"/>
      <c r="M123" s="809">
        <f t="shared" ref="M123:M140" si="7">+K123+L123</f>
        <v>75</v>
      </c>
      <c r="N123" s="143">
        <v>2024003630106</v>
      </c>
      <c r="O123" s="885" t="s">
        <v>1606</v>
      </c>
      <c r="P123" s="298" t="s">
        <v>1609</v>
      </c>
      <c r="Q123" s="290">
        <v>40000000</v>
      </c>
      <c r="R123" s="301">
        <f>2000000+2000000</f>
        <v>4000000</v>
      </c>
      <c r="S123" s="301"/>
      <c r="T123" s="301"/>
      <c r="U123" s="302">
        <f t="shared" si="4"/>
        <v>40000000</v>
      </c>
      <c r="V123" s="784" t="s">
        <v>1608</v>
      </c>
      <c r="W123" s="294">
        <v>20</v>
      </c>
      <c r="X123" s="300" t="s">
        <v>67</v>
      </c>
      <c r="Y123" s="810">
        <v>2510</v>
      </c>
      <c r="Z123" s="810">
        <v>2509</v>
      </c>
      <c r="AA123" s="304">
        <v>2756</v>
      </c>
      <c r="AB123" s="304">
        <v>1500</v>
      </c>
      <c r="AC123" s="304">
        <v>763</v>
      </c>
      <c r="AD123" s="304"/>
      <c r="AE123" s="304"/>
      <c r="AF123" s="304"/>
      <c r="AG123" s="304"/>
      <c r="AH123" s="304"/>
      <c r="AI123" s="304"/>
      <c r="AJ123" s="304"/>
      <c r="AK123" s="304"/>
      <c r="AL123" s="304"/>
      <c r="AM123" s="304"/>
      <c r="AN123" s="305">
        <f t="shared" si="5"/>
        <v>5019</v>
      </c>
      <c r="AO123" s="306">
        <v>46023</v>
      </c>
      <c r="AP123" s="306">
        <v>46387</v>
      </c>
      <c r="AQ123" s="307" t="s">
        <v>1361</v>
      </c>
    </row>
    <row r="124" spans="1:43" ht="128.25">
      <c r="A124" s="294">
        <v>1</v>
      </c>
      <c r="B124" s="295" t="s">
        <v>513</v>
      </c>
      <c r="C124" s="294">
        <v>41</v>
      </c>
      <c r="D124" s="296" t="s">
        <v>1354</v>
      </c>
      <c r="E124" s="297">
        <v>4102</v>
      </c>
      <c r="F124" s="298" t="s">
        <v>1355</v>
      </c>
      <c r="G124" s="292">
        <v>4102001</v>
      </c>
      <c r="H124" s="298" t="s">
        <v>1604</v>
      </c>
      <c r="I124" s="292">
        <v>410200100</v>
      </c>
      <c r="J124" s="792" t="s">
        <v>1605</v>
      </c>
      <c r="K124" s="809">
        <v>75</v>
      </c>
      <c r="L124" s="809"/>
      <c r="M124" s="809">
        <f t="shared" si="7"/>
        <v>75</v>
      </c>
      <c r="N124" s="143">
        <v>2024003630106</v>
      </c>
      <c r="O124" s="885" t="s">
        <v>1606</v>
      </c>
      <c r="P124" s="298" t="s">
        <v>1610</v>
      </c>
      <c r="Q124" s="290">
        <v>10000000</v>
      </c>
      <c r="R124" s="301"/>
      <c r="S124" s="301"/>
      <c r="T124" s="301"/>
      <c r="U124" s="302">
        <f t="shared" si="4"/>
        <v>10000000</v>
      </c>
      <c r="V124" s="784" t="s">
        <v>1608</v>
      </c>
      <c r="W124" s="294">
        <v>20</v>
      </c>
      <c r="X124" s="300" t="s">
        <v>67</v>
      </c>
      <c r="Y124" s="810">
        <v>2510</v>
      </c>
      <c r="Z124" s="810">
        <v>2509</v>
      </c>
      <c r="AA124" s="304">
        <v>2756</v>
      </c>
      <c r="AB124" s="304">
        <v>1500</v>
      </c>
      <c r="AC124" s="304">
        <v>763</v>
      </c>
      <c r="AD124" s="304"/>
      <c r="AE124" s="304"/>
      <c r="AF124" s="304"/>
      <c r="AG124" s="304"/>
      <c r="AH124" s="304"/>
      <c r="AI124" s="304"/>
      <c r="AJ124" s="304"/>
      <c r="AK124" s="304"/>
      <c r="AL124" s="304"/>
      <c r="AM124" s="304"/>
      <c r="AN124" s="305">
        <f t="shared" si="5"/>
        <v>5019</v>
      </c>
      <c r="AO124" s="306">
        <v>46023</v>
      </c>
      <c r="AP124" s="306">
        <v>46387</v>
      </c>
      <c r="AQ124" s="307" t="s">
        <v>1361</v>
      </c>
    </row>
    <row r="125" spans="1:43" ht="128.25">
      <c r="A125" s="783">
        <v>1</v>
      </c>
      <c r="B125" s="811" t="s">
        <v>513</v>
      </c>
      <c r="C125" s="783">
        <v>41</v>
      </c>
      <c r="D125" s="812" t="s">
        <v>1354</v>
      </c>
      <c r="E125" s="813">
        <v>4102</v>
      </c>
      <c r="F125" s="781" t="s">
        <v>1355</v>
      </c>
      <c r="G125" s="310" t="s">
        <v>1611</v>
      </c>
      <c r="H125" s="781" t="s">
        <v>1612</v>
      </c>
      <c r="I125" s="310">
        <v>410200600</v>
      </c>
      <c r="J125" s="781" t="s">
        <v>1613</v>
      </c>
      <c r="K125" s="809">
        <v>4</v>
      </c>
      <c r="L125" s="809"/>
      <c r="M125" s="809">
        <f t="shared" si="7"/>
        <v>4</v>
      </c>
      <c r="N125" s="814">
        <v>2024003630106</v>
      </c>
      <c r="O125" s="886" t="s">
        <v>1606</v>
      </c>
      <c r="P125" s="298" t="s">
        <v>1614</v>
      </c>
      <c r="Q125" s="290">
        <v>40000000</v>
      </c>
      <c r="R125" s="301"/>
      <c r="S125" s="301"/>
      <c r="T125" s="301"/>
      <c r="U125" s="302">
        <f t="shared" si="4"/>
        <v>40000000</v>
      </c>
      <c r="V125" s="798" t="s">
        <v>1615</v>
      </c>
      <c r="W125" s="294">
        <v>20</v>
      </c>
      <c r="X125" s="300" t="s">
        <v>67</v>
      </c>
      <c r="Y125" s="810">
        <v>2510</v>
      </c>
      <c r="Z125" s="810">
        <v>2509</v>
      </c>
      <c r="AA125" s="304">
        <v>2756</v>
      </c>
      <c r="AB125" s="304">
        <v>1500</v>
      </c>
      <c r="AC125" s="304">
        <v>763</v>
      </c>
      <c r="AD125" s="304"/>
      <c r="AE125" s="304"/>
      <c r="AF125" s="304"/>
      <c r="AG125" s="304"/>
      <c r="AH125" s="304"/>
      <c r="AI125" s="304"/>
      <c r="AJ125" s="304"/>
      <c r="AK125" s="304"/>
      <c r="AL125" s="304"/>
      <c r="AM125" s="304"/>
      <c r="AN125" s="305">
        <f t="shared" si="5"/>
        <v>5019</v>
      </c>
      <c r="AO125" s="306">
        <v>46023</v>
      </c>
      <c r="AP125" s="306">
        <v>46387</v>
      </c>
      <c r="AQ125" s="307" t="s">
        <v>1361</v>
      </c>
    </row>
    <row r="126" spans="1:43" ht="128.25">
      <c r="A126" s="294">
        <v>1</v>
      </c>
      <c r="B126" s="295" t="s">
        <v>513</v>
      </c>
      <c r="C126" s="294">
        <v>41</v>
      </c>
      <c r="D126" s="296" t="s">
        <v>1354</v>
      </c>
      <c r="E126" s="297">
        <v>4102</v>
      </c>
      <c r="F126" s="298" t="s">
        <v>1355</v>
      </c>
      <c r="G126" s="292">
        <v>4102043</v>
      </c>
      <c r="H126" s="298" t="s">
        <v>1364</v>
      </c>
      <c r="I126" s="292">
        <v>410204301</v>
      </c>
      <c r="J126" s="298" t="s">
        <v>1616</v>
      </c>
      <c r="K126" s="809">
        <v>5000</v>
      </c>
      <c r="L126" s="809"/>
      <c r="M126" s="809">
        <f t="shared" si="7"/>
        <v>5000</v>
      </c>
      <c r="N126" s="143">
        <v>2024003630106</v>
      </c>
      <c r="O126" s="885" t="s">
        <v>1606</v>
      </c>
      <c r="P126" s="298" t="s">
        <v>1617</v>
      </c>
      <c r="Q126" s="290">
        <v>645000000</v>
      </c>
      <c r="R126" s="301"/>
      <c r="S126" s="301"/>
      <c r="T126" s="301"/>
      <c r="U126" s="302">
        <f t="shared" si="4"/>
        <v>645000000</v>
      </c>
      <c r="V126" s="798" t="s">
        <v>1618</v>
      </c>
      <c r="W126" s="815">
        <v>1</v>
      </c>
      <c r="X126" s="300" t="s">
        <v>1619</v>
      </c>
      <c r="Y126" s="810">
        <v>2510</v>
      </c>
      <c r="Z126" s="810">
        <v>2509</v>
      </c>
      <c r="AA126" s="304">
        <v>2756</v>
      </c>
      <c r="AB126" s="304">
        <v>1500</v>
      </c>
      <c r="AC126" s="304">
        <v>763</v>
      </c>
      <c r="AD126" s="304"/>
      <c r="AE126" s="304"/>
      <c r="AF126" s="304"/>
      <c r="AG126" s="304"/>
      <c r="AH126" s="304"/>
      <c r="AI126" s="304"/>
      <c r="AJ126" s="304"/>
      <c r="AK126" s="304"/>
      <c r="AL126" s="304"/>
      <c r="AM126" s="304"/>
      <c r="AN126" s="305">
        <f t="shared" si="5"/>
        <v>5019</v>
      </c>
      <c r="AO126" s="306">
        <v>46023</v>
      </c>
      <c r="AP126" s="306">
        <v>46387</v>
      </c>
      <c r="AQ126" s="307" t="s">
        <v>1361</v>
      </c>
    </row>
    <row r="127" spans="1:43" ht="129.75">
      <c r="A127" s="294">
        <v>1</v>
      </c>
      <c r="B127" s="295" t="s">
        <v>513</v>
      </c>
      <c r="C127" s="294">
        <v>41</v>
      </c>
      <c r="D127" s="296" t="s">
        <v>1354</v>
      </c>
      <c r="E127" s="297">
        <v>4102</v>
      </c>
      <c r="F127" s="298" t="s">
        <v>1355</v>
      </c>
      <c r="G127" s="292">
        <v>4102043</v>
      </c>
      <c r="H127" s="298" t="s">
        <v>1364</v>
      </c>
      <c r="I127" s="292">
        <v>410204301</v>
      </c>
      <c r="J127" s="298" t="s">
        <v>1616</v>
      </c>
      <c r="K127" s="809">
        <v>5000</v>
      </c>
      <c r="L127" s="809"/>
      <c r="M127" s="809">
        <f t="shared" si="7"/>
        <v>5000</v>
      </c>
      <c r="N127" s="143">
        <v>2024003630106</v>
      </c>
      <c r="O127" s="885" t="s">
        <v>1606</v>
      </c>
      <c r="P127" s="298" t="s">
        <v>1620</v>
      </c>
      <c r="Q127" s="290">
        <v>40000000</v>
      </c>
      <c r="R127" s="301">
        <v>3000000</v>
      </c>
      <c r="S127" s="301"/>
      <c r="T127" s="301"/>
      <c r="U127" s="302">
        <f t="shared" si="4"/>
        <v>40000000</v>
      </c>
      <c r="V127" s="784" t="s">
        <v>1621</v>
      </c>
      <c r="W127" s="294">
        <v>20</v>
      </c>
      <c r="X127" s="300" t="s">
        <v>67</v>
      </c>
      <c r="Y127" s="810">
        <v>2510</v>
      </c>
      <c r="Z127" s="810">
        <v>2509</v>
      </c>
      <c r="AA127" s="304">
        <v>2756</v>
      </c>
      <c r="AB127" s="304">
        <v>1500</v>
      </c>
      <c r="AC127" s="304">
        <v>763</v>
      </c>
      <c r="AD127" s="304"/>
      <c r="AE127" s="304"/>
      <c r="AF127" s="304"/>
      <c r="AG127" s="304"/>
      <c r="AH127" s="304"/>
      <c r="AI127" s="304"/>
      <c r="AJ127" s="304"/>
      <c r="AK127" s="304"/>
      <c r="AL127" s="304"/>
      <c r="AM127" s="304"/>
      <c r="AN127" s="305">
        <f t="shared" si="5"/>
        <v>5019</v>
      </c>
      <c r="AO127" s="306">
        <v>46023</v>
      </c>
      <c r="AP127" s="306">
        <v>46387</v>
      </c>
      <c r="AQ127" s="307" t="s">
        <v>1361</v>
      </c>
    </row>
    <row r="128" spans="1:43" ht="129.75">
      <c r="A128" s="294">
        <v>1</v>
      </c>
      <c r="B128" s="295" t="s">
        <v>513</v>
      </c>
      <c r="C128" s="294">
        <v>41</v>
      </c>
      <c r="D128" s="296" t="s">
        <v>1354</v>
      </c>
      <c r="E128" s="297">
        <v>4102</v>
      </c>
      <c r="F128" s="298" t="s">
        <v>1355</v>
      </c>
      <c r="G128" s="292">
        <v>4102043</v>
      </c>
      <c r="H128" s="298" t="s">
        <v>1364</v>
      </c>
      <c r="I128" s="292">
        <v>410204301</v>
      </c>
      <c r="J128" s="298" t="s">
        <v>1616</v>
      </c>
      <c r="K128" s="809">
        <v>5000</v>
      </c>
      <c r="L128" s="809"/>
      <c r="M128" s="809">
        <f t="shared" si="7"/>
        <v>5000</v>
      </c>
      <c r="N128" s="143">
        <v>2024003630106</v>
      </c>
      <c r="O128" s="885" t="s">
        <v>1606</v>
      </c>
      <c r="P128" s="298" t="s">
        <v>1622</v>
      </c>
      <c r="Q128" s="290">
        <v>263500000</v>
      </c>
      <c r="R128" s="301">
        <f>4000000+4000000+4000000+60000000+5000000+5000000+9800000+8300000+5300000+5000000</f>
        <v>110400000</v>
      </c>
      <c r="S128" s="301"/>
      <c r="T128" s="301"/>
      <c r="U128" s="302">
        <f t="shared" si="4"/>
        <v>263500000</v>
      </c>
      <c r="V128" s="784" t="s">
        <v>1621</v>
      </c>
      <c r="W128" s="294">
        <v>20</v>
      </c>
      <c r="X128" s="300" t="s">
        <v>67</v>
      </c>
      <c r="Y128" s="810">
        <v>2510</v>
      </c>
      <c r="Z128" s="810">
        <v>2509</v>
      </c>
      <c r="AA128" s="304">
        <v>2756</v>
      </c>
      <c r="AB128" s="304">
        <v>1500</v>
      </c>
      <c r="AC128" s="304">
        <v>763</v>
      </c>
      <c r="AD128" s="304"/>
      <c r="AE128" s="304"/>
      <c r="AF128" s="304"/>
      <c r="AG128" s="304"/>
      <c r="AH128" s="304"/>
      <c r="AI128" s="304"/>
      <c r="AJ128" s="304"/>
      <c r="AK128" s="304"/>
      <c r="AL128" s="304"/>
      <c r="AM128" s="304"/>
      <c r="AN128" s="305">
        <f t="shared" si="5"/>
        <v>5019</v>
      </c>
      <c r="AO128" s="306">
        <v>46023</v>
      </c>
      <c r="AP128" s="306">
        <v>46387</v>
      </c>
      <c r="AQ128" s="307" t="s">
        <v>1361</v>
      </c>
    </row>
    <row r="129" spans="1:43" ht="128.25">
      <c r="A129" s="294">
        <v>1</v>
      </c>
      <c r="B129" s="295" t="s">
        <v>513</v>
      </c>
      <c r="C129" s="294">
        <v>41</v>
      </c>
      <c r="D129" s="296" t="s">
        <v>1354</v>
      </c>
      <c r="E129" s="297">
        <v>4102</v>
      </c>
      <c r="F129" s="298" t="s">
        <v>1355</v>
      </c>
      <c r="G129" s="292">
        <v>4102043</v>
      </c>
      <c r="H129" s="298" t="s">
        <v>1364</v>
      </c>
      <c r="I129" s="292">
        <v>410204301</v>
      </c>
      <c r="J129" s="298" t="s">
        <v>1616</v>
      </c>
      <c r="K129" s="809">
        <v>5000</v>
      </c>
      <c r="L129" s="809"/>
      <c r="M129" s="809">
        <f t="shared" si="7"/>
        <v>5000</v>
      </c>
      <c r="N129" s="143">
        <v>2024003630106</v>
      </c>
      <c r="O129" s="885" t="s">
        <v>1606</v>
      </c>
      <c r="P129" s="873" t="s">
        <v>1623</v>
      </c>
      <c r="Q129" s="293">
        <v>35000000</v>
      </c>
      <c r="R129" s="301"/>
      <c r="S129" s="301"/>
      <c r="T129" s="301"/>
      <c r="U129" s="302">
        <f t="shared" si="4"/>
        <v>35000000</v>
      </c>
      <c r="V129" s="784" t="s">
        <v>1621</v>
      </c>
      <c r="W129" s="294">
        <v>20</v>
      </c>
      <c r="X129" s="300" t="s">
        <v>67</v>
      </c>
      <c r="Y129" s="810">
        <v>2510</v>
      </c>
      <c r="Z129" s="810">
        <v>2509</v>
      </c>
      <c r="AA129" s="304">
        <v>2756</v>
      </c>
      <c r="AB129" s="304">
        <v>1500</v>
      </c>
      <c r="AC129" s="304">
        <v>763</v>
      </c>
      <c r="AD129" s="304"/>
      <c r="AE129" s="304"/>
      <c r="AF129" s="304"/>
      <c r="AG129" s="304"/>
      <c r="AH129" s="304"/>
      <c r="AI129" s="304"/>
      <c r="AJ129" s="304"/>
      <c r="AK129" s="304"/>
      <c r="AL129" s="304"/>
      <c r="AM129" s="304"/>
      <c r="AN129" s="305">
        <f t="shared" si="5"/>
        <v>5019</v>
      </c>
      <c r="AO129" s="306">
        <v>46023</v>
      </c>
      <c r="AP129" s="306">
        <v>46387</v>
      </c>
      <c r="AQ129" s="307" t="s">
        <v>1361</v>
      </c>
    </row>
    <row r="130" spans="1:43" ht="128.25">
      <c r="A130" s="294">
        <v>1</v>
      </c>
      <c r="B130" s="295" t="s">
        <v>513</v>
      </c>
      <c r="C130" s="294">
        <v>41</v>
      </c>
      <c r="D130" s="296" t="s">
        <v>1354</v>
      </c>
      <c r="E130" s="297">
        <v>4102</v>
      </c>
      <c r="F130" s="298" t="s">
        <v>1355</v>
      </c>
      <c r="G130" s="292">
        <v>4102043</v>
      </c>
      <c r="H130" s="298" t="s">
        <v>1364</v>
      </c>
      <c r="I130" s="292">
        <v>410204301</v>
      </c>
      <c r="J130" s="298" t="s">
        <v>1616</v>
      </c>
      <c r="K130" s="809">
        <v>5000</v>
      </c>
      <c r="L130" s="809"/>
      <c r="M130" s="809">
        <f t="shared" si="7"/>
        <v>5000</v>
      </c>
      <c r="N130" s="143">
        <v>2024003630106</v>
      </c>
      <c r="O130" s="885" t="s">
        <v>1606</v>
      </c>
      <c r="P130" s="298" t="s">
        <v>1624</v>
      </c>
      <c r="Q130" s="290">
        <v>60000000</v>
      </c>
      <c r="R130" s="301">
        <f>60000000</f>
        <v>60000000</v>
      </c>
      <c r="S130" s="301"/>
      <c r="T130" s="301"/>
      <c r="U130" s="302">
        <f>Q130-R130+S130-T130</f>
        <v>0</v>
      </c>
      <c r="V130" s="784" t="s">
        <v>1621</v>
      </c>
      <c r="W130" s="294">
        <v>20</v>
      </c>
      <c r="X130" s="300" t="s">
        <v>67</v>
      </c>
      <c r="Y130" s="810">
        <v>2510</v>
      </c>
      <c r="Z130" s="810">
        <v>2509</v>
      </c>
      <c r="AA130" s="304">
        <v>2756</v>
      </c>
      <c r="AB130" s="304">
        <v>1500</v>
      </c>
      <c r="AC130" s="304">
        <v>763</v>
      </c>
      <c r="AD130" s="304"/>
      <c r="AE130" s="304"/>
      <c r="AF130" s="304"/>
      <c r="AG130" s="304"/>
      <c r="AH130" s="304"/>
      <c r="AI130" s="304"/>
      <c r="AJ130" s="304"/>
      <c r="AK130" s="304"/>
      <c r="AL130" s="304"/>
      <c r="AM130" s="304"/>
      <c r="AN130" s="305">
        <f t="shared" si="5"/>
        <v>5019</v>
      </c>
      <c r="AO130" s="306">
        <v>46023</v>
      </c>
      <c r="AP130" s="306">
        <v>46387</v>
      </c>
      <c r="AQ130" s="307" t="s">
        <v>1361</v>
      </c>
    </row>
    <row r="131" spans="1:43" ht="128.25">
      <c r="A131" s="294">
        <v>1</v>
      </c>
      <c r="B131" s="295" t="s">
        <v>513</v>
      </c>
      <c r="C131" s="294">
        <v>41</v>
      </c>
      <c r="D131" s="296" t="s">
        <v>1354</v>
      </c>
      <c r="E131" s="297">
        <v>4102</v>
      </c>
      <c r="F131" s="298" t="s">
        <v>1355</v>
      </c>
      <c r="G131" s="292">
        <v>4102043</v>
      </c>
      <c r="H131" s="298" t="s">
        <v>1364</v>
      </c>
      <c r="I131" s="292">
        <v>410204301</v>
      </c>
      <c r="J131" s="298" t="s">
        <v>1616</v>
      </c>
      <c r="K131" s="809">
        <v>5000</v>
      </c>
      <c r="L131" s="809"/>
      <c r="M131" s="809">
        <f t="shared" si="7"/>
        <v>5000</v>
      </c>
      <c r="N131" s="143">
        <v>2024003630106</v>
      </c>
      <c r="O131" s="885" t="s">
        <v>1606</v>
      </c>
      <c r="P131" s="298" t="s">
        <v>1625</v>
      </c>
      <c r="Q131" s="290">
        <v>7000000</v>
      </c>
      <c r="R131" s="301"/>
      <c r="S131" s="301"/>
      <c r="T131" s="301"/>
      <c r="U131" s="302">
        <f t="shared" si="4"/>
        <v>7000000</v>
      </c>
      <c r="V131" s="784" t="s">
        <v>1626</v>
      </c>
      <c r="W131" s="294">
        <v>20</v>
      </c>
      <c r="X131" s="300" t="s">
        <v>67</v>
      </c>
      <c r="Y131" s="810">
        <v>2510</v>
      </c>
      <c r="Z131" s="810">
        <v>2509</v>
      </c>
      <c r="AA131" s="304">
        <v>2756</v>
      </c>
      <c r="AB131" s="304">
        <v>1500</v>
      </c>
      <c r="AC131" s="304">
        <v>763</v>
      </c>
      <c r="AD131" s="304"/>
      <c r="AE131" s="304"/>
      <c r="AF131" s="304"/>
      <c r="AG131" s="304"/>
      <c r="AH131" s="304"/>
      <c r="AI131" s="304"/>
      <c r="AJ131" s="304"/>
      <c r="AK131" s="304"/>
      <c r="AL131" s="304"/>
      <c r="AM131" s="304"/>
      <c r="AN131" s="305">
        <f t="shared" si="5"/>
        <v>5019</v>
      </c>
      <c r="AO131" s="306">
        <v>46023</v>
      </c>
      <c r="AP131" s="306">
        <v>46387</v>
      </c>
      <c r="AQ131" s="307" t="s">
        <v>1361</v>
      </c>
    </row>
    <row r="132" spans="1:43" ht="128.25">
      <c r="A132" s="294">
        <v>1</v>
      </c>
      <c r="B132" s="295" t="s">
        <v>513</v>
      </c>
      <c r="C132" s="294">
        <v>41</v>
      </c>
      <c r="D132" s="296" t="s">
        <v>1354</v>
      </c>
      <c r="E132" s="297">
        <v>4102</v>
      </c>
      <c r="F132" s="298" t="s">
        <v>1355</v>
      </c>
      <c r="G132" s="292">
        <v>4102043</v>
      </c>
      <c r="H132" s="298" t="s">
        <v>1364</v>
      </c>
      <c r="I132" s="292">
        <v>410204301</v>
      </c>
      <c r="J132" s="298" t="s">
        <v>1616</v>
      </c>
      <c r="K132" s="809">
        <v>5000</v>
      </c>
      <c r="L132" s="809"/>
      <c r="M132" s="809">
        <f t="shared" si="7"/>
        <v>5000</v>
      </c>
      <c r="N132" s="143">
        <v>2024003630106</v>
      </c>
      <c r="O132" s="885" t="s">
        <v>1606</v>
      </c>
      <c r="P132" s="298" t="s">
        <v>1627</v>
      </c>
      <c r="Q132" s="290">
        <v>1500000</v>
      </c>
      <c r="R132" s="301"/>
      <c r="S132" s="301"/>
      <c r="T132" s="301"/>
      <c r="U132" s="302">
        <f t="shared" si="4"/>
        <v>1500000</v>
      </c>
      <c r="V132" s="784" t="s">
        <v>1628</v>
      </c>
      <c r="W132" s="294">
        <v>20</v>
      </c>
      <c r="X132" s="300" t="s">
        <v>67</v>
      </c>
      <c r="Y132" s="810">
        <v>2510</v>
      </c>
      <c r="Z132" s="810">
        <v>2509</v>
      </c>
      <c r="AA132" s="304">
        <v>2756</v>
      </c>
      <c r="AB132" s="304">
        <v>1500</v>
      </c>
      <c r="AC132" s="304">
        <v>763</v>
      </c>
      <c r="AD132" s="304"/>
      <c r="AE132" s="304"/>
      <c r="AF132" s="304"/>
      <c r="AG132" s="304"/>
      <c r="AH132" s="304"/>
      <c r="AI132" s="304"/>
      <c r="AJ132" s="304"/>
      <c r="AK132" s="304"/>
      <c r="AL132" s="304"/>
      <c r="AM132" s="304"/>
      <c r="AN132" s="305">
        <f t="shared" si="5"/>
        <v>5019</v>
      </c>
      <c r="AO132" s="306">
        <v>46023</v>
      </c>
      <c r="AP132" s="306">
        <v>46387</v>
      </c>
      <c r="AQ132" s="307" t="s">
        <v>1361</v>
      </c>
    </row>
    <row r="133" spans="1:43" ht="128.25">
      <c r="A133" s="294">
        <v>1</v>
      </c>
      <c r="B133" s="295" t="s">
        <v>513</v>
      </c>
      <c r="C133" s="294">
        <v>41</v>
      </c>
      <c r="D133" s="296" t="s">
        <v>1354</v>
      </c>
      <c r="E133" s="297">
        <v>4102</v>
      </c>
      <c r="F133" s="298" t="s">
        <v>1355</v>
      </c>
      <c r="G133" s="292">
        <v>4102043</v>
      </c>
      <c r="H133" s="298" t="s">
        <v>1364</v>
      </c>
      <c r="I133" s="292">
        <v>410204301</v>
      </c>
      <c r="J133" s="298" t="s">
        <v>1616</v>
      </c>
      <c r="K133" s="809">
        <v>5000</v>
      </c>
      <c r="L133" s="809"/>
      <c r="M133" s="809">
        <f t="shared" si="7"/>
        <v>5000</v>
      </c>
      <c r="N133" s="143">
        <v>2024003630106</v>
      </c>
      <c r="O133" s="885" t="s">
        <v>1606</v>
      </c>
      <c r="P133" s="298" t="s">
        <v>1629</v>
      </c>
      <c r="Q133" s="290">
        <v>3000000</v>
      </c>
      <c r="R133" s="301"/>
      <c r="S133" s="301"/>
      <c r="T133" s="301"/>
      <c r="U133" s="302">
        <f t="shared" si="4"/>
        <v>3000000</v>
      </c>
      <c r="V133" s="784" t="s">
        <v>1630</v>
      </c>
      <c r="W133" s="294">
        <v>20</v>
      </c>
      <c r="X133" s="300" t="s">
        <v>67</v>
      </c>
      <c r="Y133" s="810">
        <v>2510</v>
      </c>
      <c r="Z133" s="810">
        <v>2509</v>
      </c>
      <c r="AA133" s="304">
        <v>2756</v>
      </c>
      <c r="AB133" s="304">
        <v>1500</v>
      </c>
      <c r="AC133" s="304">
        <v>763</v>
      </c>
      <c r="AD133" s="304"/>
      <c r="AE133" s="304"/>
      <c r="AF133" s="304"/>
      <c r="AG133" s="304"/>
      <c r="AH133" s="304"/>
      <c r="AI133" s="304"/>
      <c r="AJ133" s="304"/>
      <c r="AK133" s="304"/>
      <c r="AL133" s="304"/>
      <c r="AM133" s="304"/>
      <c r="AN133" s="305">
        <f t="shared" si="5"/>
        <v>5019</v>
      </c>
      <c r="AO133" s="306">
        <v>46023</v>
      </c>
      <c r="AP133" s="306">
        <v>46387</v>
      </c>
      <c r="AQ133" s="307" t="s">
        <v>1361</v>
      </c>
    </row>
    <row r="134" spans="1:43" ht="128.25">
      <c r="A134" s="294">
        <v>1</v>
      </c>
      <c r="B134" s="295" t="s">
        <v>513</v>
      </c>
      <c r="C134" s="294">
        <v>41</v>
      </c>
      <c r="D134" s="296" t="s">
        <v>1354</v>
      </c>
      <c r="E134" s="297">
        <v>4102</v>
      </c>
      <c r="F134" s="298" t="s">
        <v>1355</v>
      </c>
      <c r="G134" s="128">
        <v>4102046</v>
      </c>
      <c r="H134" s="127" t="s">
        <v>1631</v>
      </c>
      <c r="I134" s="128">
        <v>410204600</v>
      </c>
      <c r="J134" s="127" t="s">
        <v>1632</v>
      </c>
      <c r="K134" s="809">
        <v>30</v>
      </c>
      <c r="L134" s="809"/>
      <c r="M134" s="809">
        <f t="shared" si="7"/>
        <v>30</v>
      </c>
      <c r="N134" s="143">
        <v>2024003630106</v>
      </c>
      <c r="O134" s="885" t="s">
        <v>1606</v>
      </c>
      <c r="P134" s="298" t="s">
        <v>1633</v>
      </c>
      <c r="Q134" s="290">
        <v>15000000</v>
      </c>
      <c r="R134" s="301"/>
      <c r="S134" s="301"/>
      <c r="T134" s="301"/>
      <c r="U134" s="302">
        <f t="shared" si="4"/>
        <v>15000000</v>
      </c>
      <c r="V134" s="784" t="s">
        <v>1634</v>
      </c>
      <c r="W134" s="294">
        <v>20</v>
      </c>
      <c r="X134" s="300" t="s">
        <v>67</v>
      </c>
      <c r="Y134" s="810">
        <v>2510</v>
      </c>
      <c r="Z134" s="810">
        <v>2509</v>
      </c>
      <c r="AA134" s="304">
        <v>2756</v>
      </c>
      <c r="AB134" s="304">
        <v>1500</v>
      </c>
      <c r="AC134" s="304">
        <v>763</v>
      </c>
      <c r="AD134" s="304"/>
      <c r="AE134" s="304"/>
      <c r="AF134" s="304"/>
      <c r="AG134" s="304"/>
      <c r="AH134" s="304"/>
      <c r="AI134" s="304"/>
      <c r="AJ134" s="304"/>
      <c r="AK134" s="304"/>
      <c r="AL134" s="304"/>
      <c r="AM134" s="304"/>
      <c r="AN134" s="305">
        <f t="shared" si="5"/>
        <v>5019</v>
      </c>
      <c r="AO134" s="306">
        <v>46023</v>
      </c>
      <c r="AP134" s="306">
        <v>46387</v>
      </c>
      <c r="AQ134" s="307" t="s">
        <v>1361</v>
      </c>
    </row>
    <row r="135" spans="1:43" ht="128.25">
      <c r="A135" s="294">
        <v>1</v>
      </c>
      <c r="B135" s="295" t="s">
        <v>513</v>
      </c>
      <c r="C135" s="294">
        <v>41</v>
      </c>
      <c r="D135" s="296" t="s">
        <v>1354</v>
      </c>
      <c r="E135" s="297">
        <v>4102</v>
      </c>
      <c r="F135" s="298" t="s">
        <v>1355</v>
      </c>
      <c r="G135" s="128">
        <v>4102046</v>
      </c>
      <c r="H135" s="127" t="s">
        <v>1631</v>
      </c>
      <c r="I135" s="128">
        <v>410204600</v>
      </c>
      <c r="J135" s="127" t="s">
        <v>1632</v>
      </c>
      <c r="K135" s="809">
        <v>30</v>
      </c>
      <c r="L135" s="809"/>
      <c r="M135" s="809">
        <f t="shared" si="7"/>
        <v>30</v>
      </c>
      <c r="N135" s="143">
        <v>2024003630106</v>
      </c>
      <c r="O135" s="885" t="s">
        <v>1606</v>
      </c>
      <c r="P135" s="298" t="s">
        <v>1635</v>
      </c>
      <c r="Q135" s="290">
        <v>10000000</v>
      </c>
      <c r="R135" s="301"/>
      <c r="S135" s="301"/>
      <c r="T135" s="301"/>
      <c r="U135" s="302">
        <f t="shared" si="4"/>
        <v>10000000</v>
      </c>
      <c r="V135" s="784" t="s">
        <v>1634</v>
      </c>
      <c r="W135" s="294">
        <v>20</v>
      </c>
      <c r="X135" s="300" t="s">
        <v>67</v>
      </c>
      <c r="Y135" s="810">
        <v>2510</v>
      </c>
      <c r="Z135" s="810">
        <v>2509</v>
      </c>
      <c r="AA135" s="304">
        <v>2756</v>
      </c>
      <c r="AB135" s="304">
        <v>1500</v>
      </c>
      <c r="AC135" s="304">
        <v>763</v>
      </c>
      <c r="AD135" s="304"/>
      <c r="AE135" s="304"/>
      <c r="AF135" s="304"/>
      <c r="AG135" s="304"/>
      <c r="AH135" s="304"/>
      <c r="AI135" s="304"/>
      <c r="AJ135" s="304"/>
      <c r="AK135" s="304"/>
      <c r="AL135" s="304"/>
      <c r="AM135" s="304"/>
      <c r="AN135" s="305">
        <f t="shared" si="5"/>
        <v>5019</v>
      </c>
      <c r="AO135" s="306">
        <v>46023</v>
      </c>
      <c r="AP135" s="306">
        <v>46387</v>
      </c>
      <c r="AQ135" s="307" t="s">
        <v>1361</v>
      </c>
    </row>
    <row r="136" spans="1:43" ht="114">
      <c r="A136" s="294">
        <v>4</v>
      </c>
      <c r="B136" s="295" t="s">
        <v>58</v>
      </c>
      <c r="C136" s="143">
        <v>45</v>
      </c>
      <c r="D136" s="300" t="s">
        <v>59</v>
      </c>
      <c r="E136" s="297">
        <v>4599</v>
      </c>
      <c r="F136" s="298" t="s">
        <v>60</v>
      </c>
      <c r="G136" s="143" t="s">
        <v>490</v>
      </c>
      <c r="H136" s="816" t="s">
        <v>491</v>
      </c>
      <c r="I136" s="292">
        <v>459901900</v>
      </c>
      <c r="J136" s="298" t="s">
        <v>493</v>
      </c>
      <c r="K136" s="809">
        <v>1</v>
      </c>
      <c r="L136" s="809"/>
      <c r="M136" s="809">
        <f t="shared" si="7"/>
        <v>1</v>
      </c>
      <c r="N136" s="294">
        <v>2024003630114</v>
      </c>
      <c r="O136" s="298" t="s">
        <v>1636</v>
      </c>
      <c r="P136" s="298" t="s">
        <v>1637</v>
      </c>
      <c r="Q136" s="302">
        <v>62000000</v>
      </c>
      <c r="R136" s="301"/>
      <c r="S136" s="301"/>
      <c r="T136" s="301"/>
      <c r="U136" s="302">
        <f t="shared" si="4"/>
        <v>62000000</v>
      </c>
      <c r="V136" s="784" t="s">
        <v>1638</v>
      </c>
      <c r="W136" s="805">
        <v>20</v>
      </c>
      <c r="X136" s="806" t="s">
        <v>67</v>
      </c>
      <c r="Y136" s="786">
        <v>293304</v>
      </c>
      <c r="Z136" s="786">
        <v>272744</v>
      </c>
      <c r="AA136" s="786">
        <v>99059</v>
      </c>
      <c r="AB136" s="786">
        <v>36139</v>
      </c>
      <c r="AC136" s="786">
        <v>314186</v>
      </c>
      <c r="AD136" s="786">
        <v>116664</v>
      </c>
      <c r="AE136" s="786">
        <v>3247</v>
      </c>
      <c r="AF136" s="786">
        <v>6804</v>
      </c>
      <c r="AG136" s="304">
        <v>25</v>
      </c>
      <c r="AH136" s="304">
        <v>7</v>
      </c>
      <c r="AI136" s="304">
        <v>0</v>
      </c>
      <c r="AJ136" s="304">
        <v>0</v>
      </c>
      <c r="AK136" s="786">
        <v>50946</v>
      </c>
      <c r="AL136" s="786">
        <v>28554</v>
      </c>
      <c r="AM136" s="786">
        <v>53914</v>
      </c>
      <c r="AN136" s="305">
        <f t="shared" si="5"/>
        <v>566048</v>
      </c>
      <c r="AO136" s="306">
        <v>46023</v>
      </c>
      <c r="AP136" s="306">
        <v>46387</v>
      </c>
      <c r="AQ136" s="307" t="s">
        <v>1361</v>
      </c>
    </row>
    <row r="137" spans="1:43" ht="99.75">
      <c r="A137" s="294">
        <v>4</v>
      </c>
      <c r="B137" s="295" t="s">
        <v>58</v>
      </c>
      <c r="C137" s="143">
        <v>45</v>
      </c>
      <c r="D137" s="300" t="s">
        <v>59</v>
      </c>
      <c r="E137" s="297">
        <v>4599</v>
      </c>
      <c r="F137" s="298" t="s">
        <v>60</v>
      </c>
      <c r="G137" s="143" t="s">
        <v>490</v>
      </c>
      <c r="H137" s="816" t="s">
        <v>491</v>
      </c>
      <c r="I137" s="292">
        <v>459901900</v>
      </c>
      <c r="J137" s="298" t="s">
        <v>493</v>
      </c>
      <c r="K137" s="809">
        <v>1</v>
      </c>
      <c r="L137" s="809"/>
      <c r="M137" s="809">
        <f t="shared" si="7"/>
        <v>1</v>
      </c>
      <c r="N137" s="294">
        <v>2024003630114</v>
      </c>
      <c r="O137" s="298" t="s">
        <v>1636</v>
      </c>
      <c r="P137" s="887" t="s">
        <v>1639</v>
      </c>
      <c r="Q137" s="302">
        <v>25000000</v>
      </c>
      <c r="R137" s="301"/>
      <c r="S137" s="301"/>
      <c r="T137" s="301"/>
      <c r="U137" s="302">
        <f t="shared" si="4"/>
        <v>25000000</v>
      </c>
      <c r="V137" s="817" t="s">
        <v>1640</v>
      </c>
      <c r="W137" s="805">
        <v>20</v>
      </c>
      <c r="X137" s="806" t="s">
        <v>67</v>
      </c>
      <c r="Y137" s="786">
        <v>293304</v>
      </c>
      <c r="Z137" s="786">
        <v>272744</v>
      </c>
      <c r="AA137" s="786">
        <v>99059</v>
      </c>
      <c r="AB137" s="786">
        <v>36139</v>
      </c>
      <c r="AC137" s="786">
        <v>314186</v>
      </c>
      <c r="AD137" s="786">
        <v>116664</v>
      </c>
      <c r="AE137" s="786">
        <v>3247</v>
      </c>
      <c r="AF137" s="786">
        <v>6804</v>
      </c>
      <c r="AG137" s="304">
        <v>25</v>
      </c>
      <c r="AH137" s="304">
        <v>7</v>
      </c>
      <c r="AI137" s="304">
        <v>0</v>
      </c>
      <c r="AJ137" s="304">
        <v>0</v>
      </c>
      <c r="AK137" s="786">
        <v>50946</v>
      </c>
      <c r="AL137" s="786">
        <v>28554</v>
      </c>
      <c r="AM137" s="786">
        <v>53914</v>
      </c>
      <c r="AN137" s="305">
        <f t="shared" si="5"/>
        <v>566048</v>
      </c>
      <c r="AO137" s="306">
        <v>46023</v>
      </c>
      <c r="AP137" s="306">
        <v>46387</v>
      </c>
      <c r="AQ137" s="307" t="s">
        <v>1361</v>
      </c>
    </row>
    <row r="138" spans="1:43" ht="101.25">
      <c r="A138" s="294">
        <v>4</v>
      </c>
      <c r="B138" s="295" t="s">
        <v>58</v>
      </c>
      <c r="C138" s="143">
        <v>45</v>
      </c>
      <c r="D138" s="300" t="s">
        <v>59</v>
      </c>
      <c r="E138" s="297">
        <v>4599</v>
      </c>
      <c r="F138" s="298" t="s">
        <v>60</v>
      </c>
      <c r="G138" s="143">
        <v>4599001</v>
      </c>
      <c r="H138" s="816" t="s">
        <v>220</v>
      </c>
      <c r="I138" s="292">
        <v>459900100</v>
      </c>
      <c r="J138" s="816" t="s">
        <v>222</v>
      </c>
      <c r="K138" s="809">
        <v>9</v>
      </c>
      <c r="L138" s="809"/>
      <c r="M138" s="809">
        <f t="shared" si="7"/>
        <v>9</v>
      </c>
      <c r="N138" s="294">
        <v>2024003630114</v>
      </c>
      <c r="O138" s="298" t="s">
        <v>1636</v>
      </c>
      <c r="P138" s="887" t="s">
        <v>1641</v>
      </c>
      <c r="Q138" s="302">
        <v>35000000</v>
      </c>
      <c r="R138" s="301">
        <f>4000000+4000000+3800000+16000000</f>
        <v>27800000</v>
      </c>
      <c r="S138" s="301"/>
      <c r="T138" s="301"/>
      <c r="U138" s="302">
        <f t="shared" si="4"/>
        <v>35000000</v>
      </c>
      <c r="V138" s="784" t="s">
        <v>1642</v>
      </c>
      <c r="W138" s="805">
        <v>20</v>
      </c>
      <c r="X138" s="806" t="s">
        <v>67</v>
      </c>
      <c r="Y138" s="786">
        <v>293304</v>
      </c>
      <c r="Z138" s="786">
        <v>272744</v>
      </c>
      <c r="AA138" s="786">
        <v>99059</v>
      </c>
      <c r="AB138" s="786">
        <v>36139</v>
      </c>
      <c r="AC138" s="786">
        <v>314186</v>
      </c>
      <c r="AD138" s="786">
        <v>116664</v>
      </c>
      <c r="AE138" s="786">
        <v>3247</v>
      </c>
      <c r="AF138" s="786">
        <v>6804</v>
      </c>
      <c r="AG138" s="304">
        <v>25</v>
      </c>
      <c r="AH138" s="304">
        <v>7</v>
      </c>
      <c r="AI138" s="304">
        <v>0</v>
      </c>
      <c r="AJ138" s="304">
        <v>0</v>
      </c>
      <c r="AK138" s="786">
        <v>50946</v>
      </c>
      <c r="AL138" s="786">
        <v>28554</v>
      </c>
      <c r="AM138" s="786">
        <v>53914</v>
      </c>
      <c r="AN138" s="305">
        <f t="shared" si="5"/>
        <v>566048</v>
      </c>
      <c r="AO138" s="306">
        <v>46023</v>
      </c>
      <c r="AP138" s="306">
        <v>46387</v>
      </c>
      <c r="AQ138" s="307" t="s">
        <v>1361</v>
      </c>
    </row>
    <row r="139" spans="1:43" ht="99.75">
      <c r="A139" s="294">
        <v>4</v>
      </c>
      <c r="B139" s="295" t="s">
        <v>58</v>
      </c>
      <c r="C139" s="143">
        <v>45</v>
      </c>
      <c r="D139" s="300" t="s">
        <v>59</v>
      </c>
      <c r="E139" s="297">
        <v>4599</v>
      </c>
      <c r="F139" s="298" t="s">
        <v>60</v>
      </c>
      <c r="G139" s="143">
        <v>4599001</v>
      </c>
      <c r="H139" s="816" t="s">
        <v>220</v>
      </c>
      <c r="I139" s="292">
        <v>459900100</v>
      </c>
      <c r="J139" s="816" t="s">
        <v>222</v>
      </c>
      <c r="K139" s="809">
        <v>9</v>
      </c>
      <c r="L139" s="809"/>
      <c r="M139" s="809">
        <f t="shared" si="7"/>
        <v>9</v>
      </c>
      <c r="N139" s="294">
        <v>2024003630114</v>
      </c>
      <c r="O139" s="298" t="s">
        <v>1636</v>
      </c>
      <c r="P139" s="887" t="s">
        <v>1643</v>
      </c>
      <c r="Q139" s="302">
        <v>25000000</v>
      </c>
      <c r="R139" s="301"/>
      <c r="S139" s="301"/>
      <c r="T139" s="301"/>
      <c r="U139" s="302">
        <f t="shared" si="4"/>
        <v>25000000</v>
      </c>
      <c r="V139" s="818" t="s">
        <v>1644</v>
      </c>
      <c r="W139" s="805">
        <v>20</v>
      </c>
      <c r="X139" s="806" t="s">
        <v>67</v>
      </c>
      <c r="Y139" s="786">
        <v>293304</v>
      </c>
      <c r="Z139" s="786">
        <v>272744</v>
      </c>
      <c r="AA139" s="786">
        <v>99059</v>
      </c>
      <c r="AB139" s="786">
        <v>36139</v>
      </c>
      <c r="AC139" s="786">
        <v>314186</v>
      </c>
      <c r="AD139" s="786">
        <v>116664</v>
      </c>
      <c r="AE139" s="786">
        <v>3247</v>
      </c>
      <c r="AF139" s="786">
        <v>6804</v>
      </c>
      <c r="AG139" s="304">
        <v>25</v>
      </c>
      <c r="AH139" s="304">
        <v>7</v>
      </c>
      <c r="AI139" s="304">
        <v>0</v>
      </c>
      <c r="AJ139" s="304">
        <v>0</v>
      </c>
      <c r="AK139" s="786">
        <v>50946</v>
      </c>
      <c r="AL139" s="786">
        <v>28554</v>
      </c>
      <c r="AM139" s="786">
        <v>53914</v>
      </c>
      <c r="AN139" s="305">
        <f t="shared" si="5"/>
        <v>566048</v>
      </c>
      <c r="AO139" s="306">
        <v>46023</v>
      </c>
      <c r="AP139" s="306">
        <v>46387</v>
      </c>
      <c r="AQ139" s="307" t="s">
        <v>1361</v>
      </c>
    </row>
    <row r="140" spans="1:43" ht="99.75" hidden="1">
      <c r="A140" s="294">
        <v>4</v>
      </c>
      <c r="B140" s="295" t="s">
        <v>58</v>
      </c>
      <c r="C140" s="143">
        <v>45</v>
      </c>
      <c r="D140" s="300" t="s">
        <v>59</v>
      </c>
      <c r="E140" s="297">
        <v>4502</v>
      </c>
      <c r="F140" s="298" t="s">
        <v>97</v>
      </c>
      <c r="G140" s="294" t="s">
        <v>1645</v>
      </c>
      <c r="H140" s="298" t="s">
        <v>1646</v>
      </c>
      <c r="I140" s="292">
        <v>450203900</v>
      </c>
      <c r="J140" s="298" t="s">
        <v>1647</v>
      </c>
      <c r="K140" s="809">
        <v>20</v>
      </c>
      <c r="L140" s="809"/>
      <c r="M140" s="809">
        <f t="shared" si="7"/>
        <v>20</v>
      </c>
      <c r="N140" s="294">
        <v>2024003630117</v>
      </c>
      <c r="O140" s="298" t="s">
        <v>1648</v>
      </c>
      <c r="P140" s="298" t="s">
        <v>1649</v>
      </c>
      <c r="Q140" s="290">
        <v>150000000</v>
      </c>
      <c r="R140" s="301"/>
      <c r="S140" s="301"/>
      <c r="T140" s="301"/>
      <c r="U140" s="302">
        <f>Q140</f>
        <v>150000000</v>
      </c>
      <c r="V140" s="784" t="s">
        <v>1650</v>
      </c>
      <c r="W140" s="805">
        <v>20</v>
      </c>
      <c r="X140" s="806" t="s">
        <v>67</v>
      </c>
      <c r="Y140" s="786">
        <v>55</v>
      </c>
      <c r="Z140" s="305" t="s">
        <v>1081</v>
      </c>
      <c r="AA140" s="786"/>
      <c r="AB140" s="786">
        <v>10</v>
      </c>
      <c r="AC140" s="786">
        <v>20</v>
      </c>
      <c r="AD140" s="786">
        <v>10</v>
      </c>
      <c r="AE140" s="786">
        <v>10</v>
      </c>
      <c r="AF140" s="786">
        <v>10</v>
      </c>
      <c r="AG140" s="304"/>
      <c r="AH140" s="304"/>
      <c r="AI140" s="304"/>
      <c r="AJ140" s="304"/>
      <c r="AK140" s="786"/>
      <c r="AL140" s="786">
        <v>10</v>
      </c>
      <c r="AM140" s="786">
        <v>10</v>
      </c>
      <c r="AN140" s="305">
        <f t="shared" si="5"/>
        <v>80</v>
      </c>
      <c r="AO140" s="306">
        <v>46023</v>
      </c>
      <c r="AP140" s="306">
        <v>46387</v>
      </c>
      <c r="AQ140" s="307" t="s">
        <v>1361</v>
      </c>
    </row>
    <row r="141" spans="1:43" ht="114.75" hidden="1" thickBot="1">
      <c r="A141" s="819">
        <v>4</v>
      </c>
      <c r="B141" s="295" t="s">
        <v>58</v>
      </c>
      <c r="C141" s="294">
        <v>45</v>
      </c>
      <c r="D141" s="300" t="s">
        <v>59</v>
      </c>
      <c r="E141" s="297">
        <v>4502</v>
      </c>
      <c r="F141" s="298" t="s">
        <v>97</v>
      </c>
      <c r="G141" s="294" t="s">
        <v>1651</v>
      </c>
      <c r="H141" s="298" t="s">
        <v>1652</v>
      </c>
      <c r="I141" s="294">
        <v>450203000</v>
      </c>
      <c r="J141" s="298" t="s">
        <v>1653</v>
      </c>
      <c r="K141" s="809">
        <v>1</v>
      </c>
      <c r="L141" s="809"/>
      <c r="M141" s="809">
        <v>1</v>
      </c>
      <c r="N141" s="294">
        <v>2024003630123</v>
      </c>
      <c r="O141" s="298" t="s">
        <v>1654</v>
      </c>
      <c r="P141" s="298" t="s">
        <v>1655</v>
      </c>
      <c r="Q141" s="290">
        <v>35000000</v>
      </c>
      <c r="R141" s="301"/>
      <c r="S141" s="301"/>
      <c r="T141" s="301"/>
      <c r="U141" s="302">
        <f>Q141</f>
        <v>35000000</v>
      </c>
      <c r="V141" s="798" t="s">
        <v>1656</v>
      </c>
      <c r="W141" s="805">
        <v>20</v>
      </c>
      <c r="X141" s="806" t="s">
        <v>67</v>
      </c>
      <c r="Y141" s="786">
        <v>293304</v>
      </c>
      <c r="Z141" s="305" t="s">
        <v>1657</v>
      </c>
      <c r="AA141" s="786">
        <v>99059</v>
      </c>
      <c r="AB141" s="786">
        <v>36139</v>
      </c>
      <c r="AC141" s="786">
        <v>314186</v>
      </c>
      <c r="AD141" s="786">
        <v>116664</v>
      </c>
      <c r="AE141" s="786">
        <v>3247</v>
      </c>
      <c r="AF141" s="786">
        <v>6804</v>
      </c>
      <c r="AG141" s="304">
        <v>25</v>
      </c>
      <c r="AH141" s="304">
        <v>7</v>
      </c>
      <c r="AI141" s="304">
        <v>0</v>
      </c>
      <c r="AJ141" s="304">
        <v>0</v>
      </c>
      <c r="AK141" s="786">
        <v>50946</v>
      </c>
      <c r="AL141" s="786">
        <v>28554</v>
      </c>
      <c r="AM141" s="786">
        <v>53914</v>
      </c>
      <c r="AN141" s="305">
        <f t="shared" si="5"/>
        <v>566048</v>
      </c>
      <c r="AO141" s="306">
        <v>46023</v>
      </c>
      <c r="AP141" s="306">
        <v>46387</v>
      </c>
      <c r="AQ141" s="307" t="s">
        <v>1361</v>
      </c>
    </row>
    <row r="142" spans="1:43" s="17" customFormat="1" ht="16.5" hidden="1" thickBot="1">
      <c r="A142" s="20"/>
      <c r="B142" s="21"/>
      <c r="C142" s="21"/>
      <c r="D142" s="21"/>
      <c r="E142" s="21"/>
      <c r="F142" s="21"/>
      <c r="G142" s="21"/>
      <c r="H142" s="21"/>
      <c r="I142" s="21"/>
      <c r="J142" s="21"/>
      <c r="K142" s="21"/>
      <c r="L142" s="21"/>
      <c r="M142" s="21"/>
      <c r="N142" s="312"/>
      <c r="O142" s="21"/>
      <c r="P142" s="26"/>
      <c r="Q142" s="313">
        <f>SUM(Q10:Q141)</f>
        <v>13193052586.24</v>
      </c>
      <c r="R142" s="30"/>
      <c r="S142" s="30"/>
      <c r="T142" s="30"/>
      <c r="U142" s="314"/>
      <c r="V142" s="21"/>
      <c r="W142" s="21"/>
      <c r="X142" s="21"/>
      <c r="Y142" s="21"/>
      <c r="Z142" s="21"/>
      <c r="AA142" s="21"/>
      <c r="AB142" s="21"/>
      <c r="AC142" s="21"/>
      <c r="AD142" s="21"/>
      <c r="AE142" s="21"/>
      <c r="AF142" s="21"/>
      <c r="AG142" s="21"/>
      <c r="AH142" s="21"/>
      <c r="AI142" s="21"/>
      <c r="AJ142" s="21"/>
      <c r="AK142" s="21"/>
      <c r="AL142" s="21"/>
      <c r="AM142" s="21"/>
      <c r="AN142" s="21"/>
      <c r="AO142" s="21"/>
      <c r="AP142" s="21"/>
      <c r="AQ142" s="22"/>
    </row>
    <row r="143" spans="1:43" s="17" customFormat="1" ht="14.25">
      <c r="N143" s="315"/>
      <c r="Q143" s="316"/>
      <c r="U143" s="316"/>
      <c r="W143" s="18"/>
      <c r="X143" s="18"/>
    </row>
    <row r="144" spans="1:43" s="17" customFormat="1" ht="14.25">
      <c r="N144" s="315"/>
      <c r="Q144" s="316"/>
      <c r="U144" s="316"/>
      <c r="W144" s="18"/>
      <c r="X144" s="18"/>
    </row>
    <row r="145" spans="1:44" s="17" customFormat="1" ht="14.25">
      <c r="N145" s="315"/>
      <c r="Q145" s="316"/>
      <c r="U145" s="316"/>
      <c r="W145" s="18"/>
      <c r="X145" s="18"/>
    </row>
    <row r="146" spans="1:44" s="17" customFormat="1" ht="14.25">
      <c r="N146" s="315"/>
      <c r="Q146" s="316"/>
      <c r="U146" s="316"/>
      <c r="W146" s="18"/>
      <c r="X146" s="18"/>
    </row>
    <row r="147" spans="1:44" s="17" customFormat="1">
      <c r="K147" s="980" t="s">
        <v>1658</v>
      </c>
      <c r="L147" s="980"/>
      <c r="M147" s="980"/>
      <c r="N147" s="980"/>
      <c r="O147" s="980"/>
      <c r="P147" s="980"/>
      <c r="Q147" s="980"/>
      <c r="R147" s="37"/>
      <c r="S147" s="31"/>
      <c r="T147" s="31"/>
      <c r="U147" s="317"/>
      <c r="W147" s="18"/>
      <c r="X147" s="18"/>
    </row>
    <row r="148" spans="1:44">
      <c r="K148" s="981" t="s">
        <v>107</v>
      </c>
      <c r="L148" s="981"/>
      <c r="M148" s="981"/>
      <c r="N148" s="981"/>
      <c r="O148" s="981"/>
      <c r="P148" s="981"/>
      <c r="Q148" s="981"/>
      <c r="R148" s="38"/>
      <c r="S148" s="964"/>
      <c r="T148" s="964"/>
      <c r="U148" s="318"/>
    </row>
    <row r="149" spans="1:44">
      <c r="A149" s="17"/>
      <c r="B149" s="17"/>
      <c r="C149" s="17"/>
      <c r="D149" s="17"/>
      <c r="E149" s="17"/>
      <c r="F149" s="17"/>
      <c r="G149" s="17"/>
      <c r="H149" s="17"/>
      <c r="I149" s="17"/>
      <c r="J149" s="17"/>
      <c r="K149" s="17"/>
      <c r="L149" s="17"/>
      <c r="M149" s="17"/>
      <c r="N149" s="315"/>
      <c r="O149" s="17"/>
      <c r="P149" s="17"/>
      <c r="Q149" s="316"/>
      <c r="R149" s="17"/>
      <c r="S149" s="17"/>
      <c r="T149" s="17"/>
      <c r="U149" s="316"/>
      <c r="V149" s="17"/>
      <c r="W149" s="18"/>
      <c r="X149" s="18"/>
      <c r="Y149" s="17"/>
      <c r="Z149" s="17"/>
      <c r="AA149" s="17"/>
      <c r="AB149" s="17"/>
      <c r="AC149" s="17"/>
      <c r="AD149" s="17"/>
      <c r="AE149" s="17"/>
      <c r="AF149" s="17"/>
      <c r="AG149" s="17"/>
      <c r="AH149" s="17"/>
      <c r="AI149" s="17"/>
      <c r="AJ149" s="17"/>
      <c r="AK149" s="17"/>
      <c r="AL149" s="17"/>
      <c r="AM149" s="17"/>
      <c r="AN149" s="17"/>
      <c r="AO149" s="17"/>
      <c r="AP149" s="17"/>
      <c r="AQ149" s="17"/>
      <c r="AR149" s="17"/>
    </row>
    <row r="150" spans="1:44">
      <c r="A150" s="17"/>
      <c r="B150" s="17"/>
      <c r="C150" s="17"/>
      <c r="D150" s="17"/>
      <c r="E150" s="17"/>
      <c r="F150" s="17"/>
      <c r="G150" s="17"/>
      <c r="H150" s="17"/>
      <c r="I150" s="17"/>
      <c r="J150" s="17"/>
      <c r="K150" s="17"/>
      <c r="L150" s="17"/>
      <c r="M150" s="17"/>
      <c r="N150" s="315"/>
      <c r="O150" s="17"/>
      <c r="P150" s="17"/>
      <c r="Q150" s="316"/>
      <c r="R150" s="17"/>
      <c r="S150" s="17"/>
      <c r="T150" s="17"/>
      <c r="U150" s="316"/>
      <c r="V150" s="17"/>
      <c r="W150" s="18"/>
      <c r="X150" s="18"/>
      <c r="Y150" s="17"/>
      <c r="Z150" s="17"/>
      <c r="AA150" s="17"/>
      <c r="AB150" s="17"/>
      <c r="AC150" s="17"/>
      <c r="AD150" s="17"/>
      <c r="AE150" s="17"/>
      <c r="AF150" s="17"/>
      <c r="AG150" s="17"/>
      <c r="AH150" s="17"/>
      <c r="AI150" s="17"/>
      <c r="AJ150" s="17"/>
      <c r="AK150" s="17"/>
      <c r="AL150" s="17"/>
      <c r="AM150" s="17"/>
      <c r="AN150" s="17"/>
      <c r="AO150" s="17"/>
      <c r="AP150" s="17"/>
      <c r="AQ150" s="17"/>
      <c r="AR150" s="17"/>
    </row>
    <row r="151" spans="1:44">
      <c r="A151" s="17"/>
      <c r="B151" s="17"/>
      <c r="C151" s="17"/>
      <c r="D151" s="17"/>
      <c r="E151" s="17"/>
      <c r="F151" s="17"/>
      <c r="G151" s="979" t="s">
        <v>108</v>
      </c>
      <c r="H151" s="979"/>
      <c r="I151" s="982" t="s">
        <v>109</v>
      </c>
      <c r="J151" s="983"/>
      <c r="K151" s="984" t="s">
        <v>110</v>
      </c>
      <c r="L151" s="985"/>
      <c r="M151" s="985"/>
      <c r="N151" s="986"/>
      <c r="O151" s="17"/>
      <c r="P151" s="17"/>
      <c r="Q151" s="316"/>
      <c r="R151" s="17"/>
      <c r="S151" s="17"/>
      <c r="T151" s="17"/>
      <c r="U151" s="316"/>
      <c r="V151" s="17"/>
      <c r="W151" s="18"/>
      <c r="X151" s="18"/>
      <c r="Y151" s="17"/>
      <c r="Z151" s="17"/>
      <c r="AA151" s="17"/>
      <c r="AB151" s="17"/>
      <c r="AC151" s="17"/>
      <c r="AD151" s="17"/>
      <c r="AE151" s="17"/>
      <c r="AF151" s="17"/>
      <c r="AG151" s="17"/>
      <c r="AH151" s="17"/>
      <c r="AI151" s="17"/>
      <c r="AJ151" s="17"/>
      <c r="AK151" s="17"/>
      <c r="AL151" s="17"/>
      <c r="AM151" s="17"/>
      <c r="AN151" s="17"/>
      <c r="AO151" s="17"/>
      <c r="AP151" s="17"/>
      <c r="AQ151" s="17"/>
      <c r="AR151" s="17"/>
    </row>
    <row r="152" spans="1:44" ht="15.75">
      <c r="A152" s="17"/>
      <c r="B152" s="17"/>
      <c r="C152" s="17"/>
      <c r="D152" s="17"/>
      <c r="E152" s="17"/>
      <c r="F152" s="17"/>
      <c r="G152" s="979" t="s">
        <v>111</v>
      </c>
      <c r="H152" s="979"/>
      <c r="I152" s="1017" t="s">
        <v>112</v>
      </c>
      <c r="J152" s="1018"/>
      <c r="K152" s="979" t="s">
        <v>113</v>
      </c>
      <c r="L152" s="979"/>
      <c r="M152" s="979"/>
      <c r="N152" s="979"/>
      <c r="O152" s="17"/>
      <c r="P152" s="17"/>
      <c r="Q152" s="316"/>
      <c r="R152" s="17"/>
      <c r="S152" s="17"/>
      <c r="T152" s="17"/>
      <c r="U152" s="316"/>
      <c r="V152" s="24"/>
      <c r="W152" s="18"/>
      <c r="X152" s="18"/>
      <c r="Y152" s="17"/>
      <c r="Z152" s="17"/>
      <c r="AA152" s="17"/>
      <c r="AB152" s="17"/>
      <c r="AC152" s="17"/>
      <c r="AD152" s="17"/>
      <c r="AE152" s="17"/>
      <c r="AF152" s="17"/>
      <c r="AG152" s="17"/>
      <c r="AH152" s="17"/>
      <c r="AI152" s="17"/>
      <c r="AJ152" s="17"/>
      <c r="AK152" s="17"/>
      <c r="AL152" s="17"/>
      <c r="AM152" s="17"/>
      <c r="AN152" s="17"/>
      <c r="AO152" s="17"/>
      <c r="AP152" s="17"/>
      <c r="AQ152" s="17"/>
      <c r="AR152" s="17"/>
    </row>
    <row r="153" spans="1:44">
      <c r="G153" s="979" t="s">
        <v>114</v>
      </c>
      <c r="H153" s="979"/>
      <c r="I153" s="979" t="s">
        <v>115</v>
      </c>
      <c r="J153" s="979"/>
      <c r="K153" s="979" t="s">
        <v>116</v>
      </c>
      <c r="L153" s="979"/>
      <c r="M153" s="979"/>
      <c r="N153" s="979"/>
    </row>
    <row r="154" spans="1:44">
      <c r="G154" s="19"/>
      <c r="H154" s="17"/>
      <c r="I154" s="17"/>
      <c r="J154" s="17"/>
    </row>
  </sheetData>
  <autoFilter ref="A9:BI142" xr:uid="{00000000-0009-0000-0000-00000A000000}">
    <filterColumn colId="13">
      <filters>
        <filter val="2024003630044"/>
        <filter val="2024003630087"/>
        <filter val="2024003630106"/>
        <filter val="2024003630114"/>
      </filters>
    </filterColumn>
  </autoFilter>
  <mergeCells count="32">
    <mergeCell ref="G152:H152"/>
    <mergeCell ref="I152:J152"/>
    <mergeCell ref="K152:N152"/>
    <mergeCell ref="G153:H153"/>
    <mergeCell ref="I153:J153"/>
    <mergeCell ref="K153:N153"/>
    <mergeCell ref="K147:Q147"/>
    <mergeCell ref="K148:Q148"/>
    <mergeCell ref="G151:H151"/>
    <mergeCell ref="I151:J151"/>
    <mergeCell ref="K151:N151"/>
    <mergeCell ref="AP7:AP9"/>
    <mergeCell ref="AQ7:AQ9"/>
    <mergeCell ref="V8:X8"/>
    <mergeCell ref="Y8:Z8"/>
    <mergeCell ref="AA8:AD8"/>
    <mergeCell ref="AE8:AJ8"/>
    <mergeCell ref="AK8:AM8"/>
    <mergeCell ref="AN8:AN9"/>
    <mergeCell ref="Y7:AN7"/>
    <mergeCell ref="A1:B6"/>
    <mergeCell ref="C1:AO1"/>
    <mergeCell ref="C2:AO4"/>
    <mergeCell ref="C5:AO6"/>
    <mergeCell ref="A7:B8"/>
    <mergeCell ref="C7:D8"/>
    <mergeCell ref="E7:F8"/>
    <mergeCell ref="G7:H8"/>
    <mergeCell ref="I7:J8"/>
    <mergeCell ref="K7:M8"/>
    <mergeCell ref="AO7:AO9"/>
    <mergeCell ref="N7:Q8"/>
  </mergeCells>
  <conditionalFormatting sqref="V10">
    <cfRule type="duplicateValues" dxfId="132" priority="76"/>
    <cfRule type="duplicateValues" dxfId="131" priority="77" stopIfTrue="1"/>
  </conditionalFormatting>
  <conditionalFormatting sqref="V10:V16">
    <cfRule type="containsErrors" dxfId="130" priority="68">
      <formula>ISERROR(V10)</formula>
    </cfRule>
  </conditionalFormatting>
  <conditionalFormatting sqref="V11">
    <cfRule type="duplicateValues" dxfId="129" priority="74"/>
    <cfRule type="duplicateValues" dxfId="128" priority="75" stopIfTrue="1"/>
  </conditionalFormatting>
  <conditionalFormatting sqref="V12">
    <cfRule type="duplicateValues" dxfId="127" priority="70"/>
    <cfRule type="duplicateValues" dxfId="126" priority="71" stopIfTrue="1"/>
  </conditionalFormatting>
  <conditionalFormatting sqref="V13">
    <cfRule type="duplicateValues" dxfId="125" priority="72"/>
    <cfRule type="duplicateValues" dxfId="124" priority="73" stopIfTrue="1"/>
  </conditionalFormatting>
  <conditionalFormatting sqref="V15">
    <cfRule type="duplicateValues" dxfId="123" priority="67"/>
    <cfRule type="duplicateValues" dxfId="122" priority="69" stopIfTrue="1"/>
  </conditionalFormatting>
  <conditionalFormatting sqref="V16">
    <cfRule type="duplicateValues" dxfId="121" priority="65"/>
    <cfRule type="duplicateValues" dxfId="120" priority="66" stopIfTrue="1"/>
  </conditionalFormatting>
  <conditionalFormatting sqref="V18">
    <cfRule type="duplicateValues" dxfId="119" priority="62"/>
    <cfRule type="containsErrors" dxfId="118" priority="63">
      <formula>ISERROR(V18)</formula>
    </cfRule>
    <cfRule type="duplicateValues" dxfId="117" priority="64" stopIfTrue="1"/>
  </conditionalFormatting>
  <conditionalFormatting sqref="V30:V31">
    <cfRule type="containsErrors" dxfId="116" priority="59">
      <formula>ISERROR(V30)</formula>
    </cfRule>
    <cfRule type="duplicateValues" dxfId="115" priority="60"/>
    <cfRule type="duplicateValues" dxfId="114" priority="61" stopIfTrue="1"/>
  </conditionalFormatting>
  <conditionalFormatting sqref="V70">
    <cfRule type="duplicateValues" dxfId="113" priority="55"/>
    <cfRule type="duplicateValues" dxfId="112" priority="56" stopIfTrue="1"/>
  </conditionalFormatting>
  <conditionalFormatting sqref="V70:V86">
    <cfRule type="containsErrors" dxfId="111" priority="36">
      <formula>ISERROR(V70)</formula>
    </cfRule>
  </conditionalFormatting>
  <conditionalFormatting sqref="V71:V72">
    <cfRule type="duplicateValues" dxfId="110" priority="57"/>
    <cfRule type="duplicateValues" dxfId="109" priority="58" stopIfTrue="1"/>
  </conditionalFormatting>
  <conditionalFormatting sqref="V73">
    <cfRule type="duplicateValues" dxfId="108" priority="53"/>
    <cfRule type="duplicateValues" dxfId="107" priority="54" stopIfTrue="1"/>
  </conditionalFormatting>
  <conditionalFormatting sqref="V74">
    <cfRule type="duplicateValues" dxfId="106" priority="51"/>
    <cfRule type="duplicateValues" dxfId="105" priority="52" stopIfTrue="1"/>
  </conditionalFormatting>
  <conditionalFormatting sqref="V75">
    <cfRule type="duplicateValues" dxfId="104" priority="49"/>
    <cfRule type="duplicateValues" dxfId="103" priority="50" stopIfTrue="1"/>
  </conditionalFormatting>
  <conditionalFormatting sqref="V76">
    <cfRule type="duplicateValues" dxfId="102" priority="47"/>
    <cfRule type="duplicateValues" dxfId="101" priority="48" stopIfTrue="1"/>
  </conditionalFormatting>
  <conditionalFormatting sqref="V77:V79">
    <cfRule type="duplicateValues" dxfId="100" priority="45"/>
    <cfRule type="duplicateValues" dxfId="99" priority="46" stopIfTrue="1"/>
  </conditionalFormatting>
  <conditionalFormatting sqref="V80">
    <cfRule type="duplicateValues" dxfId="98" priority="41"/>
    <cfRule type="duplicateValues" dxfId="97" priority="42" stopIfTrue="1"/>
  </conditionalFormatting>
  <conditionalFormatting sqref="V81">
    <cfRule type="duplicateValues" dxfId="96" priority="39"/>
    <cfRule type="duplicateValues" dxfId="95" priority="40" stopIfTrue="1"/>
  </conditionalFormatting>
  <conditionalFormatting sqref="V82">
    <cfRule type="duplicateValues" dxfId="94" priority="37"/>
    <cfRule type="duplicateValues" dxfId="93" priority="38" stopIfTrue="1"/>
  </conditionalFormatting>
  <conditionalFormatting sqref="V83:V86">
    <cfRule type="duplicateValues" dxfId="92" priority="43"/>
    <cfRule type="duplicateValues" dxfId="91" priority="44" stopIfTrue="1"/>
  </conditionalFormatting>
  <conditionalFormatting sqref="V99">
    <cfRule type="duplicateValues" dxfId="90" priority="32"/>
    <cfRule type="duplicateValues" dxfId="89" priority="33" stopIfTrue="1"/>
  </conditionalFormatting>
  <conditionalFormatting sqref="V99:V108">
    <cfRule type="containsErrors" dxfId="88" priority="18">
      <formula>ISERROR(V99)</formula>
    </cfRule>
  </conditionalFormatting>
  <conditionalFormatting sqref="V100">
    <cfRule type="duplicateValues" dxfId="87" priority="30"/>
    <cfRule type="duplicateValues" dxfId="86" priority="31" stopIfTrue="1"/>
  </conditionalFormatting>
  <conditionalFormatting sqref="V101">
    <cfRule type="duplicateValues" dxfId="85" priority="28"/>
    <cfRule type="duplicateValues" dxfId="84" priority="29" stopIfTrue="1"/>
  </conditionalFormatting>
  <conditionalFormatting sqref="V102">
    <cfRule type="duplicateValues" dxfId="83" priority="26"/>
    <cfRule type="duplicateValues" dxfId="82" priority="27" stopIfTrue="1"/>
  </conditionalFormatting>
  <conditionalFormatting sqref="V103:V104">
    <cfRule type="duplicateValues" dxfId="81" priority="34"/>
    <cfRule type="duplicateValues" dxfId="80" priority="35" stopIfTrue="1"/>
  </conditionalFormatting>
  <conditionalFormatting sqref="V105">
    <cfRule type="duplicateValues" dxfId="79" priority="24"/>
    <cfRule type="duplicateValues" dxfId="78" priority="25" stopIfTrue="1"/>
  </conditionalFormatting>
  <conditionalFormatting sqref="V106">
    <cfRule type="duplicateValues" dxfId="77" priority="22"/>
    <cfRule type="duplicateValues" dxfId="76" priority="23" stopIfTrue="1"/>
  </conditionalFormatting>
  <conditionalFormatting sqref="V107">
    <cfRule type="duplicateValues" dxfId="75" priority="20"/>
    <cfRule type="duplicateValues" dxfId="74" priority="21" stopIfTrue="1"/>
  </conditionalFormatting>
  <conditionalFormatting sqref="V108">
    <cfRule type="duplicateValues" dxfId="73" priority="17"/>
    <cfRule type="duplicateValues" dxfId="72" priority="19" stopIfTrue="1"/>
  </conditionalFormatting>
  <conditionalFormatting sqref="V114">
    <cfRule type="duplicateValues" dxfId="71" priority="13"/>
    <cfRule type="duplicateValues" dxfId="70" priority="14" stopIfTrue="1"/>
  </conditionalFormatting>
  <conditionalFormatting sqref="V114:V121">
    <cfRule type="containsErrors" dxfId="69" priority="6">
      <formula>ISERROR(V114)</formula>
    </cfRule>
  </conditionalFormatting>
  <conditionalFormatting sqref="V115">
    <cfRule type="duplicateValues" dxfId="68" priority="11"/>
    <cfRule type="duplicateValues" dxfId="67" priority="12" stopIfTrue="1"/>
  </conditionalFormatting>
  <conditionalFormatting sqref="V116">
    <cfRule type="duplicateValues" dxfId="66" priority="15"/>
    <cfRule type="duplicateValues" dxfId="65" priority="16" stopIfTrue="1"/>
  </conditionalFormatting>
  <conditionalFormatting sqref="V117">
    <cfRule type="duplicateValues" dxfId="64" priority="9"/>
    <cfRule type="duplicateValues" dxfId="63" priority="10" stopIfTrue="1"/>
  </conditionalFormatting>
  <conditionalFormatting sqref="V118:V121">
    <cfRule type="duplicateValues" dxfId="62" priority="7"/>
    <cfRule type="duplicateValues" dxfId="61" priority="8" stopIfTrue="1"/>
  </conditionalFormatting>
  <conditionalFormatting sqref="V136:V139">
    <cfRule type="duplicateValues" dxfId="60" priority="4"/>
    <cfRule type="duplicateValues" dxfId="59" priority="5" stopIfTrue="1"/>
  </conditionalFormatting>
  <conditionalFormatting sqref="V136:V140">
    <cfRule type="containsErrors" dxfId="58" priority="2">
      <formula>ISERROR(V136)</formula>
    </cfRule>
  </conditionalFormatting>
  <conditionalFormatting sqref="V140">
    <cfRule type="duplicateValues" dxfId="57" priority="1"/>
    <cfRule type="duplicateValues" dxfId="56" priority="3" stopIfTrue="1"/>
  </conditionalFormatting>
  <pageMargins left="0.25" right="0.25" top="0.75" bottom="0.75" header="0.3" footer="0.3"/>
  <pageSetup scale="22" fitToHeight="6"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filterMode="1">
    <pageSetUpPr fitToPage="1"/>
  </sheetPr>
  <dimension ref="A1:BI229"/>
  <sheetViews>
    <sheetView zoomScale="70" zoomScaleNormal="70" zoomScaleSheetLayoutView="70" workbookViewId="0">
      <pane ySplit="9" topLeftCell="P210" activePane="bottomLeft" state="frozen"/>
      <selection pane="bottomLeft" activeCell="R222" sqref="R222"/>
    </sheetView>
  </sheetViews>
  <sheetFormatPr defaultColWidth="11.42578125" defaultRowHeight="15" customHeight="1"/>
  <cols>
    <col min="1" max="1" width="12.28515625" customWidth="1"/>
    <col min="2" max="2" width="31" customWidth="1"/>
    <col min="3" max="3" width="9.42578125" customWidth="1"/>
    <col min="4" max="4" width="11.42578125" customWidth="1"/>
    <col min="5" max="5" width="9.7109375" customWidth="1"/>
    <col min="6" max="6" width="19" customWidth="1"/>
    <col min="7" max="7" width="13.7109375" customWidth="1"/>
    <col min="8" max="8" width="35.85546875" customWidth="1"/>
    <col min="9" max="9" width="13.7109375" customWidth="1"/>
    <col min="10" max="10" width="25.7109375" customWidth="1"/>
    <col min="11" max="13" width="15.7109375" customWidth="1"/>
    <col min="14" max="14" width="18.85546875" customWidth="1"/>
    <col min="15" max="15" width="40" customWidth="1"/>
    <col min="16" max="16" width="63" customWidth="1"/>
    <col min="17" max="17" width="23.85546875" style="654" customWidth="1"/>
    <col min="18" max="18" width="24.85546875" customWidth="1"/>
    <col min="19" max="19" width="23.42578125" customWidth="1"/>
    <col min="20" max="20" width="22" customWidth="1"/>
    <col min="21" max="21" width="22.140625" customWidth="1"/>
    <col min="22" max="22" width="49.42578125" customWidth="1"/>
    <col min="23" max="23" width="12" customWidth="1"/>
    <col min="24" max="24" width="36" style="653" bestFit="1" customWidth="1"/>
    <col min="25" max="25" width="10.7109375" customWidth="1"/>
    <col min="26" max="26" width="11" customWidth="1"/>
    <col min="27" max="27" width="9.28515625" customWidth="1"/>
    <col min="28" max="28" width="7.42578125" customWidth="1"/>
    <col min="29" max="29" width="9.42578125" customWidth="1"/>
    <col min="30" max="30" width="8.42578125" customWidth="1"/>
    <col min="31" max="31" width="9.42578125" customWidth="1"/>
    <col min="32" max="32" width="8.85546875" customWidth="1"/>
    <col min="33" max="33" width="6.7109375" customWidth="1"/>
    <col min="34" max="34" width="6.42578125" customWidth="1"/>
    <col min="35" max="35" width="6.28515625" customWidth="1"/>
    <col min="36" max="36" width="6.42578125" customWidth="1"/>
    <col min="37" max="37" width="11.7109375" customWidth="1"/>
    <col min="38" max="38" width="10.85546875" customWidth="1"/>
    <col min="39" max="39" width="7.28515625" customWidth="1"/>
    <col min="40" max="40" width="15.28515625" customWidth="1"/>
    <col min="41" max="41" width="14.28515625" customWidth="1"/>
    <col min="42" max="42" width="14.42578125" customWidth="1"/>
    <col min="43" max="43" width="19.42578125" customWidth="1"/>
  </cols>
  <sheetData>
    <row r="1" spans="1:61">
      <c r="A1" s="1001"/>
      <c r="B1" s="1001"/>
      <c r="C1" s="1002" t="s">
        <v>0</v>
      </c>
      <c r="D1" s="1002"/>
      <c r="E1" s="1002"/>
      <c r="F1" s="1002"/>
      <c r="G1" s="1002"/>
      <c r="H1" s="1002"/>
      <c r="I1" s="1002"/>
      <c r="J1" s="1002"/>
      <c r="K1" s="1002"/>
      <c r="L1" s="1002"/>
      <c r="M1" s="1002"/>
      <c r="N1" s="1002"/>
      <c r="O1" s="1002"/>
      <c r="P1" s="1002"/>
      <c r="Q1" s="1002"/>
      <c r="R1" s="1002"/>
      <c r="S1" s="1002"/>
      <c r="T1" s="1002"/>
      <c r="U1" s="1002"/>
      <c r="V1" s="1002"/>
      <c r="W1" s="1002"/>
      <c r="X1" s="1002"/>
      <c r="Y1" s="1002"/>
      <c r="Z1" s="1002"/>
      <c r="AA1" s="1002"/>
      <c r="AB1" s="1002"/>
      <c r="AC1" s="1002"/>
      <c r="AD1" s="1002"/>
      <c r="AE1" s="1002"/>
      <c r="AF1" s="1002"/>
      <c r="AG1" s="1002"/>
      <c r="AH1" s="1002"/>
      <c r="AI1" s="1002"/>
      <c r="AJ1" s="1002"/>
      <c r="AK1" s="1002"/>
      <c r="AL1" s="1002"/>
      <c r="AM1" s="1002"/>
      <c r="AN1" s="1002"/>
      <c r="AO1" s="1002"/>
    </row>
    <row r="2" spans="1:61" s="2" customFormat="1" ht="14.45" customHeight="1">
      <c r="A2" s="1001"/>
      <c r="B2" s="1001"/>
      <c r="C2" s="1003" t="s">
        <v>1</v>
      </c>
      <c r="D2" s="1003"/>
      <c r="E2" s="1003"/>
      <c r="F2" s="1003"/>
      <c r="G2" s="1003"/>
      <c r="H2" s="1003"/>
      <c r="I2" s="1003"/>
      <c r="J2" s="1003"/>
      <c r="K2" s="1003"/>
      <c r="L2" s="1003"/>
      <c r="M2" s="1003"/>
      <c r="N2" s="1003"/>
      <c r="O2" s="1003"/>
      <c r="P2" s="1003"/>
      <c r="Q2" s="1003"/>
      <c r="R2" s="1003"/>
      <c r="S2" s="1003"/>
      <c r="T2" s="1003"/>
      <c r="U2" s="1003"/>
      <c r="V2" s="1003"/>
      <c r="W2" s="1003"/>
      <c r="X2" s="1003"/>
      <c r="Y2" s="1003"/>
      <c r="Z2" s="1003"/>
      <c r="AA2" s="1003"/>
      <c r="AB2" s="1003"/>
      <c r="AC2" s="1003"/>
      <c r="AD2" s="1003"/>
      <c r="AE2" s="1003"/>
      <c r="AF2" s="1003"/>
      <c r="AG2" s="1003"/>
      <c r="AH2" s="1003"/>
      <c r="AI2" s="1003"/>
      <c r="AJ2" s="1003"/>
      <c r="AK2" s="1003"/>
      <c r="AL2" s="1003"/>
      <c r="AM2" s="1003"/>
      <c r="AN2" s="1003"/>
      <c r="AO2" s="1003"/>
      <c r="AP2" s="25" t="s">
        <v>2</v>
      </c>
      <c r="AQ2" s="957" t="s">
        <v>3</v>
      </c>
      <c r="AR2" s="1"/>
      <c r="AS2" s="1"/>
      <c r="AT2" s="1"/>
      <c r="AU2" s="1"/>
      <c r="AV2" s="1"/>
      <c r="AW2" s="1"/>
      <c r="AX2" s="1"/>
      <c r="AY2" s="1"/>
      <c r="AZ2" s="1"/>
      <c r="BA2" s="1"/>
      <c r="BB2" s="1"/>
      <c r="BC2" s="1"/>
      <c r="BD2" s="1"/>
      <c r="BE2" s="1"/>
      <c r="BF2" s="1"/>
      <c r="BG2" s="1"/>
      <c r="BH2" s="1"/>
      <c r="BI2" s="1"/>
    </row>
    <row r="3" spans="1:61" s="2" customFormat="1" ht="11.25" customHeight="1">
      <c r="A3" s="1001"/>
      <c r="B3" s="1001"/>
      <c r="C3" s="1003"/>
      <c r="D3" s="1003"/>
      <c r="E3" s="1003"/>
      <c r="F3" s="1003"/>
      <c r="G3" s="1003"/>
      <c r="H3" s="1003"/>
      <c r="I3" s="1003"/>
      <c r="J3" s="1003"/>
      <c r="K3" s="1003"/>
      <c r="L3" s="1003"/>
      <c r="M3" s="1003"/>
      <c r="N3" s="1003"/>
      <c r="O3" s="1003"/>
      <c r="P3" s="1003"/>
      <c r="Q3" s="1003"/>
      <c r="R3" s="1003"/>
      <c r="S3" s="1003"/>
      <c r="T3" s="1003"/>
      <c r="U3" s="1003"/>
      <c r="V3" s="1003"/>
      <c r="W3" s="1003"/>
      <c r="X3" s="1003"/>
      <c r="Y3" s="1003"/>
      <c r="Z3" s="1003"/>
      <c r="AA3" s="1003"/>
      <c r="AB3" s="1003"/>
      <c r="AC3" s="1003"/>
      <c r="AD3" s="1003"/>
      <c r="AE3" s="1003"/>
      <c r="AF3" s="1003"/>
      <c r="AG3" s="1003"/>
      <c r="AH3" s="1003"/>
      <c r="AI3" s="1003"/>
      <c r="AJ3" s="1003"/>
      <c r="AK3" s="1003"/>
      <c r="AL3" s="1003"/>
      <c r="AM3" s="1003"/>
      <c r="AN3" s="1003"/>
      <c r="AO3" s="1003"/>
      <c r="AP3" s="42" t="s">
        <v>4</v>
      </c>
      <c r="AQ3" s="40">
        <v>14</v>
      </c>
      <c r="AR3" s="1"/>
      <c r="AS3" s="1"/>
      <c r="AT3" s="1"/>
      <c r="AU3" s="1"/>
      <c r="AV3" s="1"/>
      <c r="AW3" s="1"/>
      <c r="AX3" s="1"/>
      <c r="AY3" s="1"/>
      <c r="AZ3" s="1"/>
      <c r="BA3" s="1"/>
      <c r="BB3" s="1"/>
      <c r="BC3" s="1"/>
      <c r="BD3" s="1"/>
      <c r="BE3" s="1"/>
      <c r="BF3" s="1"/>
      <c r="BG3" s="1"/>
      <c r="BH3" s="1"/>
      <c r="BI3" s="1"/>
    </row>
    <row r="4" spans="1:61" s="2" customFormat="1" ht="18.75" customHeight="1">
      <c r="A4" s="1001"/>
      <c r="B4" s="1001"/>
      <c r="C4" s="1003"/>
      <c r="D4" s="1003"/>
      <c r="E4" s="1003"/>
      <c r="F4" s="1003"/>
      <c r="G4" s="1003"/>
      <c r="H4" s="1003"/>
      <c r="I4" s="1003"/>
      <c r="J4" s="1003"/>
      <c r="K4" s="1003"/>
      <c r="L4" s="1003"/>
      <c r="M4" s="1003"/>
      <c r="N4" s="1003"/>
      <c r="O4" s="1003"/>
      <c r="P4" s="1003"/>
      <c r="Q4" s="1003"/>
      <c r="R4" s="1003"/>
      <c r="S4" s="1003"/>
      <c r="T4" s="1003"/>
      <c r="U4" s="1003"/>
      <c r="V4" s="1003"/>
      <c r="W4" s="1003"/>
      <c r="X4" s="1003"/>
      <c r="Y4" s="1003"/>
      <c r="Z4" s="1003"/>
      <c r="AA4" s="1003"/>
      <c r="AB4" s="1003"/>
      <c r="AC4" s="1003"/>
      <c r="AD4" s="1003"/>
      <c r="AE4" s="1003"/>
      <c r="AF4" s="1003"/>
      <c r="AG4" s="1003"/>
      <c r="AH4" s="1003"/>
      <c r="AI4" s="1003"/>
      <c r="AJ4" s="1003"/>
      <c r="AK4" s="1003"/>
      <c r="AL4" s="1003"/>
      <c r="AM4" s="1003"/>
      <c r="AN4" s="1003"/>
      <c r="AO4" s="1003"/>
      <c r="AP4" s="42" t="s">
        <v>5</v>
      </c>
      <c r="AQ4" s="41">
        <v>45884</v>
      </c>
      <c r="AR4" s="1"/>
      <c r="AS4" s="1"/>
      <c r="AT4" s="1"/>
      <c r="AU4" s="1"/>
      <c r="AV4" s="1"/>
      <c r="AW4" s="1"/>
      <c r="AX4" s="1"/>
      <c r="AY4" s="1"/>
      <c r="AZ4" s="1"/>
      <c r="BA4" s="1"/>
      <c r="BB4" s="1"/>
      <c r="BC4" s="1"/>
      <c r="BD4" s="1"/>
      <c r="BE4" s="1"/>
      <c r="BF4" s="1"/>
      <c r="BG4" s="1"/>
      <c r="BH4" s="1"/>
      <c r="BI4" s="1"/>
    </row>
    <row r="5" spans="1:61" s="2" customFormat="1" ht="14.45" customHeight="1">
      <c r="A5" s="1001"/>
      <c r="B5" s="1001"/>
      <c r="C5" s="1004" t="s">
        <v>6</v>
      </c>
      <c r="D5" s="1004"/>
      <c r="E5" s="1004"/>
      <c r="F5" s="1004"/>
      <c r="G5" s="1004"/>
      <c r="H5" s="1004"/>
      <c r="I5" s="1004"/>
      <c r="J5" s="1004"/>
      <c r="K5" s="1004"/>
      <c r="L5" s="1004"/>
      <c r="M5" s="1004"/>
      <c r="N5" s="1004"/>
      <c r="O5" s="1004"/>
      <c r="P5" s="1004"/>
      <c r="Q5" s="1004"/>
      <c r="R5" s="1004"/>
      <c r="S5" s="1004"/>
      <c r="T5" s="1004"/>
      <c r="U5" s="1004"/>
      <c r="V5" s="1004"/>
      <c r="W5" s="1004"/>
      <c r="X5" s="1004"/>
      <c r="Y5" s="1004"/>
      <c r="Z5" s="1004"/>
      <c r="AA5" s="1004"/>
      <c r="AB5" s="1004"/>
      <c r="AC5" s="1004"/>
      <c r="AD5" s="1004"/>
      <c r="AE5" s="1004"/>
      <c r="AF5" s="1004"/>
      <c r="AG5" s="1004"/>
      <c r="AH5" s="1004"/>
      <c r="AI5" s="1004"/>
      <c r="AJ5" s="1004"/>
      <c r="AK5" s="1004"/>
      <c r="AL5" s="1004"/>
      <c r="AM5" s="1004"/>
      <c r="AN5" s="1004"/>
      <c r="AO5" s="1004"/>
      <c r="AP5" s="25" t="s">
        <v>7</v>
      </c>
      <c r="AQ5" s="3" t="s">
        <v>8</v>
      </c>
      <c r="AR5" s="1"/>
      <c r="AS5" s="1"/>
      <c r="AT5" s="1"/>
      <c r="AU5" s="1"/>
      <c r="AV5" s="1"/>
      <c r="AW5" s="1"/>
      <c r="AX5" s="1"/>
      <c r="AY5" s="1"/>
      <c r="AZ5" s="1"/>
      <c r="BA5" s="1"/>
      <c r="BB5" s="1"/>
      <c r="BC5" s="1"/>
      <c r="BD5" s="1"/>
      <c r="BE5" s="1"/>
      <c r="BF5" s="1"/>
      <c r="BG5" s="1"/>
      <c r="BH5" s="1"/>
      <c r="BI5" s="1"/>
    </row>
    <row r="6" spans="1:61" s="2" customFormat="1" ht="9.75" customHeight="1">
      <c r="A6" s="1001"/>
      <c r="B6" s="1001"/>
      <c r="C6" s="1004"/>
      <c r="D6" s="1004"/>
      <c r="E6" s="1004"/>
      <c r="F6" s="1004"/>
      <c r="G6" s="1004"/>
      <c r="H6" s="1004"/>
      <c r="I6" s="1004"/>
      <c r="J6" s="1004"/>
      <c r="K6" s="1005"/>
      <c r="L6" s="1005"/>
      <c r="M6" s="1005"/>
      <c r="N6" s="1004"/>
      <c r="O6" s="1004"/>
      <c r="P6" s="1004"/>
      <c r="Q6" s="1004"/>
      <c r="R6" s="1004"/>
      <c r="S6" s="1004"/>
      <c r="T6" s="1004"/>
      <c r="U6" s="1004"/>
      <c r="V6" s="1004"/>
      <c r="W6" s="1004"/>
      <c r="X6" s="1004"/>
      <c r="Y6" s="1004"/>
      <c r="Z6" s="1004"/>
      <c r="AA6" s="1004"/>
      <c r="AB6" s="1004"/>
      <c r="AC6" s="1004"/>
      <c r="AD6" s="1004"/>
      <c r="AE6" s="1004"/>
      <c r="AF6" s="1004"/>
      <c r="AG6" s="1004"/>
      <c r="AH6" s="1004"/>
      <c r="AI6" s="1004"/>
      <c r="AJ6" s="1004"/>
      <c r="AK6" s="1004"/>
      <c r="AL6" s="1004"/>
      <c r="AM6" s="1004"/>
      <c r="AN6" s="1004"/>
      <c r="AO6" s="1004"/>
      <c r="AP6" s="4"/>
      <c r="AQ6" s="5"/>
      <c r="AR6" s="1"/>
      <c r="AS6" s="1"/>
      <c r="AT6" s="1"/>
      <c r="AU6" s="1"/>
      <c r="AV6" s="1"/>
      <c r="AW6" s="1"/>
      <c r="AX6" s="1"/>
      <c r="AY6" s="1"/>
      <c r="AZ6" s="1"/>
      <c r="BA6" s="1"/>
      <c r="BB6" s="1"/>
      <c r="BC6" s="1"/>
      <c r="BD6" s="1"/>
      <c r="BE6" s="1"/>
      <c r="BF6" s="1"/>
      <c r="BG6" s="1"/>
      <c r="BH6" s="1"/>
      <c r="BI6" s="1"/>
    </row>
    <row r="7" spans="1:61" ht="21" customHeight="1">
      <c r="A7" s="1006" t="s">
        <v>9</v>
      </c>
      <c r="B7" s="1007"/>
      <c r="C7" s="1006" t="s">
        <v>10</v>
      </c>
      <c r="D7" s="1010"/>
      <c r="E7" s="1006" t="s">
        <v>11</v>
      </c>
      <c r="F7" s="1010"/>
      <c r="G7" s="1006" t="s">
        <v>12</v>
      </c>
      <c r="H7" s="1010"/>
      <c r="I7" s="1012" t="s">
        <v>13</v>
      </c>
      <c r="J7" s="1012"/>
      <c r="K7" s="1014" t="s">
        <v>14</v>
      </c>
      <c r="L7" s="1014"/>
      <c r="M7" s="1014"/>
      <c r="N7" s="1015" t="s">
        <v>15</v>
      </c>
      <c r="O7" s="1015"/>
      <c r="P7" s="1015"/>
      <c r="Q7" s="1015"/>
      <c r="R7" s="33"/>
      <c r="S7" s="958"/>
      <c r="T7" s="958"/>
      <c r="U7" s="958"/>
      <c r="V7" s="6"/>
      <c r="W7" s="6"/>
      <c r="X7" s="581"/>
      <c r="Y7" s="998" t="s">
        <v>16</v>
      </c>
      <c r="Z7" s="999"/>
      <c r="AA7" s="999"/>
      <c r="AB7" s="999"/>
      <c r="AC7" s="999"/>
      <c r="AD7" s="999"/>
      <c r="AE7" s="999"/>
      <c r="AF7" s="999"/>
      <c r="AG7" s="999"/>
      <c r="AH7" s="999"/>
      <c r="AI7" s="999"/>
      <c r="AJ7" s="999"/>
      <c r="AK7" s="999"/>
      <c r="AL7" s="999"/>
      <c r="AM7" s="999"/>
      <c r="AN7" s="1000"/>
      <c r="AO7" s="987" t="s">
        <v>17</v>
      </c>
      <c r="AP7" s="987" t="s">
        <v>18</v>
      </c>
      <c r="AQ7" s="987" t="s">
        <v>19</v>
      </c>
    </row>
    <row r="8" spans="1:61" s="9" customFormat="1" ht="12.75" customHeight="1">
      <c r="A8" s="1008"/>
      <c r="B8" s="1009"/>
      <c r="C8" s="1008"/>
      <c r="D8" s="1011"/>
      <c r="E8" s="1008"/>
      <c r="F8" s="1011"/>
      <c r="G8" s="1008"/>
      <c r="H8" s="1011"/>
      <c r="I8" s="1013"/>
      <c r="J8" s="1013"/>
      <c r="K8" s="1014"/>
      <c r="L8" s="1014"/>
      <c r="M8" s="1014"/>
      <c r="N8" s="1016"/>
      <c r="O8" s="1016"/>
      <c r="P8" s="1016"/>
      <c r="Q8" s="1016"/>
      <c r="R8" s="34"/>
      <c r="S8" s="959"/>
      <c r="T8" s="959"/>
      <c r="U8" s="959"/>
      <c r="V8" s="990" t="s">
        <v>20</v>
      </c>
      <c r="W8" s="991"/>
      <c r="X8" s="992"/>
      <c r="Y8" s="993" t="s">
        <v>21</v>
      </c>
      <c r="Z8" s="994"/>
      <c r="AA8" s="995" t="s">
        <v>22</v>
      </c>
      <c r="AB8" s="994"/>
      <c r="AC8" s="994"/>
      <c r="AD8" s="994"/>
      <c r="AE8" s="996" t="s">
        <v>23</v>
      </c>
      <c r="AF8" s="994"/>
      <c r="AG8" s="994"/>
      <c r="AH8" s="994"/>
      <c r="AI8" s="994"/>
      <c r="AJ8" s="994"/>
      <c r="AK8" s="995" t="s">
        <v>24</v>
      </c>
      <c r="AL8" s="994"/>
      <c r="AM8" s="994"/>
      <c r="AN8" s="997" t="s">
        <v>25</v>
      </c>
      <c r="AO8" s="988"/>
      <c r="AP8" s="988"/>
      <c r="AQ8" s="988"/>
      <c r="AR8" s="8"/>
      <c r="AS8" s="8"/>
      <c r="AT8" s="8"/>
      <c r="AU8" s="8"/>
      <c r="AV8" s="8"/>
      <c r="AW8" s="8"/>
      <c r="AX8" s="8"/>
      <c r="AY8" s="8"/>
      <c r="AZ8" s="8"/>
      <c r="BA8" s="8"/>
      <c r="BB8" s="8"/>
      <c r="BC8" s="8"/>
      <c r="BD8" s="8"/>
      <c r="BE8" s="8"/>
      <c r="BF8" s="8"/>
    </row>
    <row r="9" spans="1:61" s="16" customFormat="1" ht="55.5" customHeight="1">
      <c r="A9" s="10" t="s">
        <v>26</v>
      </c>
      <c r="B9" s="10" t="s">
        <v>27</v>
      </c>
      <c r="C9" s="10" t="s">
        <v>28</v>
      </c>
      <c r="D9" s="11" t="s">
        <v>29</v>
      </c>
      <c r="E9" s="11" t="s">
        <v>28</v>
      </c>
      <c r="F9" s="11" t="s">
        <v>29</v>
      </c>
      <c r="G9" s="12" t="s">
        <v>26</v>
      </c>
      <c r="H9" s="12" t="s">
        <v>29</v>
      </c>
      <c r="I9" s="12" t="s">
        <v>30</v>
      </c>
      <c r="J9" s="12" t="s">
        <v>31</v>
      </c>
      <c r="K9" s="39" t="s">
        <v>32</v>
      </c>
      <c r="L9" s="39" t="s">
        <v>33</v>
      </c>
      <c r="M9" s="39">
        <v>192</v>
      </c>
      <c r="N9" s="12" t="s">
        <v>34</v>
      </c>
      <c r="O9" s="12" t="s">
        <v>35</v>
      </c>
      <c r="P9" s="11" t="s">
        <v>36</v>
      </c>
      <c r="Q9" s="582" t="s">
        <v>37</v>
      </c>
      <c r="R9" s="35" t="s">
        <v>38</v>
      </c>
      <c r="S9" s="13" t="s">
        <v>39</v>
      </c>
      <c r="T9" s="13" t="s">
        <v>40</v>
      </c>
      <c r="U9" s="13" t="s">
        <v>41</v>
      </c>
      <c r="V9" s="10" t="s">
        <v>42</v>
      </c>
      <c r="W9" s="11" t="s">
        <v>26</v>
      </c>
      <c r="X9" s="11" t="s">
        <v>27</v>
      </c>
      <c r="Y9" s="14" t="s">
        <v>43</v>
      </c>
      <c r="Z9" s="15" t="s">
        <v>44</v>
      </c>
      <c r="AA9" s="14" t="s">
        <v>45</v>
      </c>
      <c r="AB9" s="14" t="s">
        <v>46</v>
      </c>
      <c r="AC9" s="14" t="s">
        <v>47</v>
      </c>
      <c r="AD9" s="14" t="s">
        <v>48</v>
      </c>
      <c r="AE9" s="14" t="s">
        <v>49</v>
      </c>
      <c r="AF9" s="14" t="s">
        <v>50</v>
      </c>
      <c r="AG9" s="14" t="s">
        <v>51</v>
      </c>
      <c r="AH9" s="14" t="s">
        <v>52</v>
      </c>
      <c r="AI9" s="14" t="s">
        <v>53</v>
      </c>
      <c r="AJ9" s="14" t="s">
        <v>54</v>
      </c>
      <c r="AK9" s="14" t="s">
        <v>55</v>
      </c>
      <c r="AL9" s="14" t="s">
        <v>56</v>
      </c>
      <c r="AM9" s="14" t="s">
        <v>57</v>
      </c>
      <c r="AN9" s="997"/>
      <c r="AO9" s="989"/>
      <c r="AP9" s="989"/>
      <c r="AQ9" s="989"/>
      <c r="AR9" s="8"/>
      <c r="AS9" s="8"/>
      <c r="AT9" s="8"/>
      <c r="AU9" s="8"/>
      <c r="AV9" s="8"/>
      <c r="AW9" s="8"/>
      <c r="AX9" s="8"/>
      <c r="AY9" s="8"/>
      <c r="AZ9" s="8"/>
      <c r="BA9" s="8"/>
      <c r="BB9" s="8"/>
      <c r="BC9" s="8"/>
      <c r="BD9" s="8"/>
      <c r="BE9" s="8"/>
      <c r="BF9" s="8"/>
    </row>
    <row r="10" spans="1:61" ht="87.75" hidden="1" customHeight="1">
      <c r="A10" s="115">
        <v>1</v>
      </c>
      <c r="B10" s="583" t="s">
        <v>513</v>
      </c>
      <c r="C10" s="584">
        <v>19</v>
      </c>
      <c r="D10" s="115" t="s">
        <v>1559</v>
      </c>
      <c r="E10" s="23">
        <v>1905</v>
      </c>
      <c r="F10" s="115" t="s">
        <v>1659</v>
      </c>
      <c r="G10" s="585" t="s">
        <v>1660</v>
      </c>
      <c r="H10" s="586" t="s">
        <v>1661</v>
      </c>
      <c r="I10" s="115" t="s">
        <v>1662</v>
      </c>
      <c r="J10" s="456" t="s">
        <v>1663</v>
      </c>
      <c r="K10" s="460">
        <v>11</v>
      </c>
      <c r="L10" s="115"/>
      <c r="M10" s="115">
        <f>+K10+L10</f>
        <v>11</v>
      </c>
      <c r="N10" s="587" t="s">
        <v>1664</v>
      </c>
      <c r="O10" s="456" t="s">
        <v>1665</v>
      </c>
      <c r="P10" s="456" t="s">
        <v>1666</v>
      </c>
      <c r="Q10" s="588">
        <v>45000000</v>
      </c>
      <c r="R10" s="589">
        <f>1000000+8800000</f>
        <v>9800000</v>
      </c>
      <c r="S10" s="589"/>
      <c r="T10" s="589"/>
      <c r="U10" s="589">
        <f>+Q10-R10+S10-T10</f>
        <v>35200000</v>
      </c>
      <c r="V10" s="590" t="s">
        <v>1667</v>
      </c>
      <c r="W10" s="23">
        <v>61</v>
      </c>
      <c r="X10" s="115" t="s">
        <v>1668</v>
      </c>
      <c r="Y10" s="591">
        <v>293304</v>
      </c>
      <c r="Z10" s="591">
        <v>272744</v>
      </c>
      <c r="AA10" s="591">
        <v>99059</v>
      </c>
      <c r="AB10" s="591">
        <v>36139</v>
      </c>
      <c r="AC10" s="591">
        <v>314186</v>
      </c>
      <c r="AD10" s="591">
        <v>116664</v>
      </c>
      <c r="AE10" s="591">
        <v>3247</v>
      </c>
      <c r="AF10" s="591">
        <v>6804</v>
      </c>
      <c r="AG10" s="591">
        <v>25</v>
      </c>
      <c r="AH10" s="591">
        <v>7</v>
      </c>
      <c r="AI10" s="591">
        <v>0</v>
      </c>
      <c r="AJ10" s="591">
        <v>0</v>
      </c>
      <c r="AK10" s="591">
        <v>50946</v>
      </c>
      <c r="AL10" s="591">
        <v>28554</v>
      </c>
      <c r="AM10" s="591">
        <v>53914</v>
      </c>
      <c r="AN10" s="592">
        <f>Y10+Z10</f>
        <v>566048</v>
      </c>
      <c r="AO10" s="587" t="s">
        <v>1669</v>
      </c>
      <c r="AP10" s="587" t="s">
        <v>1670</v>
      </c>
      <c r="AQ10" s="115" t="s">
        <v>1671</v>
      </c>
    </row>
    <row r="11" spans="1:61" ht="40.5" hidden="1" customHeight="1">
      <c r="A11" s="115">
        <v>1</v>
      </c>
      <c r="B11" s="583" t="s">
        <v>513</v>
      </c>
      <c r="C11" s="584">
        <v>19</v>
      </c>
      <c r="D11" s="115" t="s">
        <v>1559</v>
      </c>
      <c r="E11" s="23">
        <v>1905</v>
      </c>
      <c r="F11" s="115" t="s">
        <v>1659</v>
      </c>
      <c r="G11" s="585" t="s">
        <v>1660</v>
      </c>
      <c r="H11" s="586" t="s">
        <v>1661</v>
      </c>
      <c r="I11" s="585" t="s">
        <v>1662</v>
      </c>
      <c r="J11" s="456" t="s">
        <v>1663</v>
      </c>
      <c r="K11" s="460">
        <v>11</v>
      </c>
      <c r="L11" s="115"/>
      <c r="M11" s="115">
        <f t="shared" ref="M11:M151" si="0">+K11+L11</f>
        <v>11</v>
      </c>
      <c r="N11" s="587" t="s">
        <v>1664</v>
      </c>
      <c r="O11" s="456" t="s">
        <v>1665</v>
      </c>
      <c r="P11" s="456" t="s">
        <v>1672</v>
      </c>
      <c r="Q11" s="588">
        <v>25000000</v>
      </c>
      <c r="R11" s="589"/>
      <c r="S11" s="589"/>
      <c r="T11" s="589"/>
      <c r="U11" s="589">
        <f>+Q11-R11+S11-T11</f>
        <v>25000000</v>
      </c>
      <c r="V11" s="590" t="s">
        <v>1673</v>
      </c>
      <c r="W11" s="23">
        <v>61</v>
      </c>
      <c r="X11" s="115" t="s">
        <v>1668</v>
      </c>
      <c r="Y11" s="591">
        <v>293304</v>
      </c>
      <c r="Z11" s="591">
        <v>272744</v>
      </c>
      <c r="AA11" s="591">
        <v>99059</v>
      </c>
      <c r="AB11" s="591">
        <v>36139</v>
      </c>
      <c r="AC11" s="591">
        <v>314186</v>
      </c>
      <c r="AD11" s="591">
        <v>116664</v>
      </c>
      <c r="AE11" s="591">
        <v>3247</v>
      </c>
      <c r="AF11" s="591">
        <v>6804</v>
      </c>
      <c r="AG11" s="591">
        <v>25</v>
      </c>
      <c r="AH11" s="591">
        <v>7</v>
      </c>
      <c r="AI11" s="591">
        <v>0</v>
      </c>
      <c r="AJ11" s="591">
        <v>0</v>
      </c>
      <c r="AK11" s="591">
        <v>50946</v>
      </c>
      <c r="AL11" s="591">
        <v>28554</v>
      </c>
      <c r="AM11" s="591">
        <v>53914</v>
      </c>
      <c r="AN11" s="592">
        <f t="shared" ref="AN11:AN26" si="1">Y11+Z11</f>
        <v>566048</v>
      </c>
      <c r="AO11" s="587" t="s">
        <v>1669</v>
      </c>
      <c r="AP11" s="587" t="s">
        <v>1670</v>
      </c>
      <c r="AQ11" s="115" t="s">
        <v>1671</v>
      </c>
    </row>
    <row r="12" spans="1:61" ht="42.75" hidden="1" customHeight="1">
      <c r="A12" s="115">
        <v>1</v>
      </c>
      <c r="B12" s="583" t="s">
        <v>513</v>
      </c>
      <c r="C12" s="584">
        <v>19</v>
      </c>
      <c r="D12" s="115" t="s">
        <v>1559</v>
      </c>
      <c r="E12" s="23">
        <v>1905</v>
      </c>
      <c r="F12" s="115" t="s">
        <v>1659</v>
      </c>
      <c r="G12" s="593" t="s">
        <v>1674</v>
      </c>
      <c r="H12" s="594" t="s">
        <v>1675</v>
      </c>
      <c r="I12" s="585">
        <v>190502500</v>
      </c>
      <c r="J12" s="586" t="s">
        <v>1676</v>
      </c>
      <c r="K12" s="265">
        <v>11</v>
      </c>
      <c r="L12" s="115"/>
      <c r="M12" s="115">
        <f t="shared" si="0"/>
        <v>11</v>
      </c>
      <c r="N12" s="587" t="s">
        <v>1664</v>
      </c>
      <c r="O12" s="456" t="s">
        <v>1665</v>
      </c>
      <c r="P12" s="456" t="s">
        <v>1677</v>
      </c>
      <c r="Q12" s="588">
        <v>16000000</v>
      </c>
      <c r="R12" s="589"/>
      <c r="S12" s="589"/>
      <c r="T12" s="589"/>
      <c r="U12" s="589">
        <f>+Q12-R12+S12-T12</f>
        <v>16000000</v>
      </c>
      <c r="V12" s="590" t="s">
        <v>1678</v>
      </c>
      <c r="W12" s="23">
        <v>61</v>
      </c>
      <c r="X12" s="115" t="s">
        <v>1668</v>
      </c>
      <c r="Y12" s="591">
        <v>293304</v>
      </c>
      <c r="Z12" s="591">
        <v>272744</v>
      </c>
      <c r="AA12" s="591">
        <v>99059</v>
      </c>
      <c r="AB12" s="591">
        <v>36139</v>
      </c>
      <c r="AC12" s="591">
        <v>314186</v>
      </c>
      <c r="AD12" s="591">
        <v>116664</v>
      </c>
      <c r="AE12" s="591">
        <v>3247</v>
      </c>
      <c r="AF12" s="591">
        <v>6804</v>
      </c>
      <c r="AG12" s="591">
        <v>25</v>
      </c>
      <c r="AH12" s="591">
        <v>7</v>
      </c>
      <c r="AI12" s="591">
        <v>0</v>
      </c>
      <c r="AJ12" s="591">
        <v>0</v>
      </c>
      <c r="AK12" s="591">
        <v>50946</v>
      </c>
      <c r="AL12" s="591">
        <v>28554</v>
      </c>
      <c r="AM12" s="591">
        <v>53914</v>
      </c>
      <c r="AN12" s="592">
        <f t="shared" si="1"/>
        <v>566048</v>
      </c>
      <c r="AO12" s="587" t="s">
        <v>1669</v>
      </c>
      <c r="AP12" s="587" t="s">
        <v>1670</v>
      </c>
      <c r="AQ12" s="115" t="s">
        <v>1671</v>
      </c>
    </row>
    <row r="13" spans="1:61" ht="40.5" hidden="1" customHeight="1">
      <c r="A13" s="115">
        <v>1</v>
      </c>
      <c r="B13" s="583" t="s">
        <v>513</v>
      </c>
      <c r="C13" s="584">
        <v>19</v>
      </c>
      <c r="D13" s="115" t="s">
        <v>1559</v>
      </c>
      <c r="E13" s="23">
        <v>1905</v>
      </c>
      <c r="F13" s="115" t="s">
        <v>1659</v>
      </c>
      <c r="G13" s="593" t="s">
        <v>1674</v>
      </c>
      <c r="H13" s="594" t="s">
        <v>1675</v>
      </c>
      <c r="I13" s="585">
        <v>190502502</v>
      </c>
      <c r="J13" s="586" t="s">
        <v>1679</v>
      </c>
      <c r="K13" s="265">
        <v>60</v>
      </c>
      <c r="L13" s="115"/>
      <c r="M13" s="115">
        <f t="shared" si="0"/>
        <v>60</v>
      </c>
      <c r="N13" s="587" t="s">
        <v>1664</v>
      </c>
      <c r="O13" s="456" t="s">
        <v>1665</v>
      </c>
      <c r="P13" s="456" t="s">
        <v>1680</v>
      </c>
      <c r="Q13" s="588">
        <v>40000000</v>
      </c>
      <c r="R13" s="589"/>
      <c r="S13" s="589"/>
      <c r="T13" s="589"/>
      <c r="U13" s="589">
        <f>+Q13-R13+S13-T13</f>
        <v>40000000</v>
      </c>
      <c r="V13" s="590" t="s">
        <v>1678</v>
      </c>
      <c r="W13" s="23">
        <v>61</v>
      </c>
      <c r="X13" s="115" t="s">
        <v>1668</v>
      </c>
      <c r="Y13" s="591">
        <v>293304</v>
      </c>
      <c r="Z13" s="591">
        <v>272744</v>
      </c>
      <c r="AA13" s="591">
        <v>99059</v>
      </c>
      <c r="AB13" s="591">
        <v>36139</v>
      </c>
      <c r="AC13" s="591">
        <v>314186</v>
      </c>
      <c r="AD13" s="591">
        <v>116664</v>
      </c>
      <c r="AE13" s="591">
        <v>3247</v>
      </c>
      <c r="AF13" s="591">
        <v>6804</v>
      </c>
      <c r="AG13" s="591">
        <v>25</v>
      </c>
      <c r="AH13" s="591">
        <v>7</v>
      </c>
      <c r="AI13" s="591">
        <v>0</v>
      </c>
      <c r="AJ13" s="591">
        <v>0</v>
      </c>
      <c r="AK13" s="591">
        <v>50946</v>
      </c>
      <c r="AL13" s="591">
        <v>28554</v>
      </c>
      <c r="AM13" s="591">
        <v>53914</v>
      </c>
      <c r="AN13" s="592">
        <f t="shared" si="1"/>
        <v>566048</v>
      </c>
      <c r="AO13" s="587" t="s">
        <v>1669</v>
      </c>
      <c r="AP13" s="587" t="s">
        <v>1670</v>
      </c>
      <c r="AQ13" s="115" t="s">
        <v>1671</v>
      </c>
    </row>
    <row r="14" spans="1:61" ht="45.75" hidden="1" customHeight="1">
      <c r="A14" s="115">
        <v>1</v>
      </c>
      <c r="B14" s="583" t="s">
        <v>513</v>
      </c>
      <c r="C14" s="584">
        <v>19</v>
      </c>
      <c r="D14" s="115" t="s">
        <v>1559</v>
      </c>
      <c r="E14" s="23">
        <v>1905</v>
      </c>
      <c r="F14" s="115" t="s">
        <v>1659</v>
      </c>
      <c r="G14" s="593" t="s">
        <v>1674</v>
      </c>
      <c r="H14" s="594" t="s">
        <v>1675</v>
      </c>
      <c r="I14" s="585">
        <v>190502503</v>
      </c>
      <c r="J14" s="586" t="s">
        <v>1681</v>
      </c>
      <c r="K14" s="460">
        <v>11</v>
      </c>
      <c r="L14" s="115"/>
      <c r="M14" s="115">
        <f t="shared" si="0"/>
        <v>11</v>
      </c>
      <c r="N14" s="587" t="s">
        <v>1664</v>
      </c>
      <c r="O14" s="456" t="s">
        <v>1665</v>
      </c>
      <c r="P14" s="456" t="s">
        <v>1682</v>
      </c>
      <c r="Q14" s="596">
        <v>16000000</v>
      </c>
      <c r="R14" s="589"/>
      <c r="S14" s="589"/>
      <c r="T14" s="589"/>
      <c r="U14" s="589">
        <f>+Q14-R14+S14-T14</f>
        <v>16000000</v>
      </c>
      <c r="V14" s="590" t="s">
        <v>1678</v>
      </c>
      <c r="W14" s="23">
        <v>61</v>
      </c>
      <c r="X14" s="115" t="s">
        <v>1668</v>
      </c>
      <c r="Y14" s="591">
        <v>293304</v>
      </c>
      <c r="Z14" s="591">
        <v>272744</v>
      </c>
      <c r="AA14" s="591">
        <v>99059</v>
      </c>
      <c r="AB14" s="591">
        <v>36139</v>
      </c>
      <c r="AC14" s="591">
        <v>314186</v>
      </c>
      <c r="AD14" s="591">
        <v>116664</v>
      </c>
      <c r="AE14" s="591">
        <v>3247</v>
      </c>
      <c r="AF14" s="591">
        <v>6804</v>
      </c>
      <c r="AG14" s="591">
        <v>25</v>
      </c>
      <c r="AH14" s="591">
        <v>7</v>
      </c>
      <c r="AI14" s="591">
        <v>0</v>
      </c>
      <c r="AJ14" s="591">
        <v>0</v>
      </c>
      <c r="AK14" s="591">
        <v>50946</v>
      </c>
      <c r="AL14" s="591">
        <v>28554</v>
      </c>
      <c r="AM14" s="591">
        <v>53914</v>
      </c>
      <c r="AN14" s="592">
        <f t="shared" si="1"/>
        <v>566048</v>
      </c>
      <c r="AO14" s="587" t="s">
        <v>1669</v>
      </c>
      <c r="AP14" s="587" t="s">
        <v>1670</v>
      </c>
      <c r="AQ14" s="115" t="s">
        <v>1671</v>
      </c>
    </row>
    <row r="15" spans="1:61" ht="36" hidden="1" customHeight="1">
      <c r="A15" s="115">
        <v>1</v>
      </c>
      <c r="B15" s="583" t="s">
        <v>513</v>
      </c>
      <c r="C15" s="584">
        <v>19</v>
      </c>
      <c r="D15" s="115" t="s">
        <v>1559</v>
      </c>
      <c r="E15" s="23">
        <v>1905</v>
      </c>
      <c r="F15" s="115" t="s">
        <v>1659</v>
      </c>
      <c r="G15" s="593" t="s">
        <v>1674</v>
      </c>
      <c r="H15" s="594" t="s">
        <v>1675</v>
      </c>
      <c r="I15" s="585">
        <v>190502503</v>
      </c>
      <c r="J15" s="586" t="s">
        <v>1681</v>
      </c>
      <c r="K15" s="460">
        <v>11</v>
      </c>
      <c r="L15" s="115"/>
      <c r="M15" s="115">
        <f t="shared" si="0"/>
        <v>11</v>
      </c>
      <c r="N15" s="587" t="s">
        <v>1664</v>
      </c>
      <c r="O15" s="456" t="s">
        <v>1665</v>
      </c>
      <c r="P15" s="456" t="s">
        <v>1683</v>
      </c>
      <c r="Q15" s="596">
        <v>30000000</v>
      </c>
      <c r="R15" s="589">
        <f>14800000</f>
        <v>14800000</v>
      </c>
      <c r="S15" s="589"/>
      <c r="T15" s="589"/>
      <c r="U15" s="589">
        <f>+Q15-R15+S15-T15</f>
        <v>15200000</v>
      </c>
      <c r="V15" s="590" t="s">
        <v>1684</v>
      </c>
      <c r="W15" s="23">
        <v>20</v>
      </c>
      <c r="X15" s="115" t="s">
        <v>67</v>
      </c>
      <c r="Y15" s="591">
        <v>293304</v>
      </c>
      <c r="Z15" s="591">
        <v>272744</v>
      </c>
      <c r="AA15" s="591">
        <v>99059</v>
      </c>
      <c r="AB15" s="591">
        <v>36139</v>
      </c>
      <c r="AC15" s="591">
        <v>314186</v>
      </c>
      <c r="AD15" s="591">
        <v>116664</v>
      </c>
      <c r="AE15" s="591">
        <v>3247</v>
      </c>
      <c r="AF15" s="591">
        <v>6804</v>
      </c>
      <c r="AG15" s="591">
        <v>25</v>
      </c>
      <c r="AH15" s="591">
        <v>7</v>
      </c>
      <c r="AI15" s="591">
        <v>0</v>
      </c>
      <c r="AJ15" s="591">
        <v>0</v>
      </c>
      <c r="AK15" s="591">
        <v>50946</v>
      </c>
      <c r="AL15" s="591">
        <v>28554</v>
      </c>
      <c r="AM15" s="591">
        <v>53914</v>
      </c>
      <c r="AN15" s="592">
        <f t="shared" si="1"/>
        <v>566048</v>
      </c>
      <c r="AO15" s="587" t="s">
        <v>1669</v>
      </c>
      <c r="AP15" s="587" t="s">
        <v>1670</v>
      </c>
      <c r="AQ15" s="115" t="s">
        <v>1671</v>
      </c>
    </row>
    <row r="16" spans="1:61" ht="91.5" hidden="1">
      <c r="A16" s="115">
        <v>1</v>
      </c>
      <c r="B16" s="597" t="s">
        <v>513</v>
      </c>
      <c r="C16" s="584">
        <v>19</v>
      </c>
      <c r="D16" s="115" t="s">
        <v>1559</v>
      </c>
      <c r="E16" s="23">
        <v>1905</v>
      </c>
      <c r="F16" s="115" t="s">
        <v>1659</v>
      </c>
      <c r="G16" s="593">
        <v>1905028</v>
      </c>
      <c r="H16" s="594" t="s">
        <v>1685</v>
      </c>
      <c r="I16" s="585">
        <v>190502800</v>
      </c>
      <c r="J16" s="594" t="s">
        <v>1686</v>
      </c>
      <c r="K16" s="457">
        <v>12</v>
      </c>
      <c r="L16" s="115"/>
      <c r="M16" s="115">
        <f t="shared" si="0"/>
        <v>12</v>
      </c>
      <c r="N16" s="587" t="s">
        <v>1664</v>
      </c>
      <c r="O16" s="456" t="s">
        <v>1665</v>
      </c>
      <c r="P16" s="456" t="s">
        <v>1687</v>
      </c>
      <c r="Q16" s="596">
        <v>50000000</v>
      </c>
      <c r="R16" s="589">
        <f>14800000</f>
        <v>14800000</v>
      </c>
      <c r="S16" s="589"/>
      <c r="T16" s="589"/>
      <c r="U16" s="589">
        <f>+Q16-R16+S16-T16</f>
        <v>35200000</v>
      </c>
      <c r="V16" s="590" t="s">
        <v>1688</v>
      </c>
      <c r="W16" s="23">
        <v>61</v>
      </c>
      <c r="X16" s="115" t="s">
        <v>1668</v>
      </c>
      <c r="Y16" s="591">
        <v>293304</v>
      </c>
      <c r="Z16" s="591">
        <v>272744</v>
      </c>
      <c r="AA16" s="591">
        <v>99059</v>
      </c>
      <c r="AB16" s="591">
        <v>36139</v>
      </c>
      <c r="AC16" s="591">
        <v>314186</v>
      </c>
      <c r="AD16" s="591">
        <v>116664</v>
      </c>
      <c r="AE16" s="591">
        <v>3247</v>
      </c>
      <c r="AF16" s="591">
        <v>6804</v>
      </c>
      <c r="AG16" s="591">
        <v>25</v>
      </c>
      <c r="AH16" s="591">
        <v>7</v>
      </c>
      <c r="AI16" s="591">
        <v>0</v>
      </c>
      <c r="AJ16" s="591">
        <v>0</v>
      </c>
      <c r="AK16" s="591">
        <v>50946</v>
      </c>
      <c r="AL16" s="591">
        <v>28554</v>
      </c>
      <c r="AM16" s="591">
        <v>53914</v>
      </c>
      <c r="AN16" s="592">
        <f t="shared" si="1"/>
        <v>566048</v>
      </c>
      <c r="AO16" s="587" t="s">
        <v>1669</v>
      </c>
      <c r="AP16" s="587" t="s">
        <v>1670</v>
      </c>
      <c r="AQ16" s="115" t="s">
        <v>1671</v>
      </c>
    </row>
    <row r="17" spans="1:43" ht="76.5" hidden="1">
      <c r="A17" s="115">
        <v>1</v>
      </c>
      <c r="B17" s="597" t="s">
        <v>513</v>
      </c>
      <c r="C17" s="584">
        <v>19</v>
      </c>
      <c r="D17" s="115" t="s">
        <v>1559</v>
      </c>
      <c r="E17" s="23">
        <v>1905</v>
      </c>
      <c r="F17" s="115" t="s">
        <v>1659</v>
      </c>
      <c r="G17" s="593">
        <v>1905028</v>
      </c>
      <c r="H17" s="594" t="s">
        <v>1685</v>
      </c>
      <c r="I17" s="585" t="s">
        <v>1689</v>
      </c>
      <c r="J17" s="594" t="s">
        <v>1690</v>
      </c>
      <c r="K17" s="457">
        <v>12</v>
      </c>
      <c r="L17" s="115"/>
      <c r="M17" s="115">
        <f t="shared" si="0"/>
        <v>12</v>
      </c>
      <c r="N17" s="587" t="s">
        <v>1664</v>
      </c>
      <c r="O17" s="456" t="s">
        <v>1665</v>
      </c>
      <c r="P17" s="456" t="s">
        <v>1691</v>
      </c>
      <c r="Q17" s="596">
        <v>30000000</v>
      </c>
      <c r="R17" s="589"/>
      <c r="S17" s="589"/>
      <c r="T17" s="589"/>
      <c r="U17" s="589">
        <f>+Q17-R17+S17-T17</f>
        <v>30000000</v>
      </c>
      <c r="V17" s="590" t="s">
        <v>1688</v>
      </c>
      <c r="W17" s="23">
        <v>61</v>
      </c>
      <c r="X17" s="115" t="s">
        <v>1668</v>
      </c>
      <c r="Y17" s="591">
        <v>293304</v>
      </c>
      <c r="Z17" s="591">
        <v>272744</v>
      </c>
      <c r="AA17" s="591">
        <v>99059</v>
      </c>
      <c r="AB17" s="591">
        <v>36139</v>
      </c>
      <c r="AC17" s="591">
        <v>314186</v>
      </c>
      <c r="AD17" s="591">
        <v>116664</v>
      </c>
      <c r="AE17" s="591">
        <v>3247</v>
      </c>
      <c r="AF17" s="591">
        <v>6804</v>
      </c>
      <c r="AG17" s="591">
        <v>25</v>
      </c>
      <c r="AH17" s="591">
        <v>7</v>
      </c>
      <c r="AI17" s="591">
        <v>0</v>
      </c>
      <c r="AJ17" s="591">
        <v>0</v>
      </c>
      <c r="AK17" s="591">
        <v>50946</v>
      </c>
      <c r="AL17" s="591">
        <v>28554</v>
      </c>
      <c r="AM17" s="591">
        <v>53914</v>
      </c>
      <c r="AN17" s="592">
        <f t="shared" si="1"/>
        <v>566048</v>
      </c>
      <c r="AO17" s="587" t="s">
        <v>1669</v>
      </c>
      <c r="AP17" s="587" t="s">
        <v>1670</v>
      </c>
      <c r="AQ17" s="115" t="s">
        <v>1671</v>
      </c>
    </row>
    <row r="18" spans="1:43" ht="76.5" hidden="1">
      <c r="A18" s="115">
        <v>1</v>
      </c>
      <c r="B18" s="597" t="s">
        <v>513</v>
      </c>
      <c r="C18" s="584">
        <v>19</v>
      </c>
      <c r="D18" s="115" t="s">
        <v>1559</v>
      </c>
      <c r="E18" s="23">
        <v>1905</v>
      </c>
      <c r="F18" s="115" t="s">
        <v>1659</v>
      </c>
      <c r="G18" s="593" t="s">
        <v>1692</v>
      </c>
      <c r="H18" s="594" t="s">
        <v>1693</v>
      </c>
      <c r="I18" s="585">
        <v>190503000</v>
      </c>
      <c r="J18" s="594" t="s">
        <v>1694</v>
      </c>
      <c r="K18" s="457">
        <v>25</v>
      </c>
      <c r="L18" s="115"/>
      <c r="M18" s="115">
        <f t="shared" si="0"/>
        <v>25</v>
      </c>
      <c r="N18" s="587" t="s">
        <v>1664</v>
      </c>
      <c r="O18" s="456" t="s">
        <v>1665</v>
      </c>
      <c r="P18" s="456" t="s">
        <v>1695</v>
      </c>
      <c r="Q18" s="596">
        <v>29700000</v>
      </c>
      <c r="R18" s="589"/>
      <c r="S18" s="589"/>
      <c r="T18" s="589"/>
      <c r="U18" s="589">
        <f>+Q18-R18+S18-T18</f>
        <v>29700000</v>
      </c>
      <c r="V18" s="590" t="s">
        <v>1696</v>
      </c>
      <c r="W18" s="23">
        <v>61</v>
      </c>
      <c r="X18" s="115" t="s">
        <v>1668</v>
      </c>
      <c r="Y18" s="591">
        <v>293304</v>
      </c>
      <c r="Z18" s="591">
        <v>272744</v>
      </c>
      <c r="AA18" s="591">
        <v>99059</v>
      </c>
      <c r="AB18" s="591">
        <v>36139</v>
      </c>
      <c r="AC18" s="591">
        <v>314186</v>
      </c>
      <c r="AD18" s="591">
        <v>116664</v>
      </c>
      <c r="AE18" s="591">
        <v>3247</v>
      </c>
      <c r="AF18" s="591">
        <v>6804</v>
      </c>
      <c r="AG18" s="591">
        <v>25</v>
      </c>
      <c r="AH18" s="591">
        <v>7</v>
      </c>
      <c r="AI18" s="591">
        <v>0</v>
      </c>
      <c r="AJ18" s="591">
        <v>0</v>
      </c>
      <c r="AK18" s="591">
        <v>50946</v>
      </c>
      <c r="AL18" s="591">
        <v>28554</v>
      </c>
      <c r="AM18" s="591">
        <v>53914</v>
      </c>
      <c r="AN18" s="592">
        <f t="shared" si="1"/>
        <v>566048</v>
      </c>
      <c r="AO18" s="587" t="s">
        <v>1669</v>
      </c>
      <c r="AP18" s="587" t="s">
        <v>1670</v>
      </c>
      <c r="AQ18" s="115" t="s">
        <v>1671</v>
      </c>
    </row>
    <row r="19" spans="1:43" ht="132.75" hidden="1" customHeight="1">
      <c r="A19" s="115">
        <v>1</v>
      </c>
      <c r="B19" s="597" t="s">
        <v>513</v>
      </c>
      <c r="C19" s="584">
        <v>19</v>
      </c>
      <c r="D19" s="115" t="s">
        <v>1559</v>
      </c>
      <c r="E19" s="23">
        <v>1905</v>
      </c>
      <c r="F19" s="115" t="s">
        <v>1659</v>
      </c>
      <c r="G19" s="585">
        <v>1905031</v>
      </c>
      <c r="H19" s="586" t="s">
        <v>1697</v>
      </c>
      <c r="I19" s="585">
        <v>190503100</v>
      </c>
      <c r="J19" s="456" t="s">
        <v>1698</v>
      </c>
      <c r="K19" s="460">
        <v>12</v>
      </c>
      <c r="L19" s="115"/>
      <c r="M19" s="115">
        <f t="shared" si="0"/>
        <v>12</v>
      </c>
      <c r="N19" s="587" t="s">
        <v>1664</v>
      </c>
      <c r="O19" s="456" t="s">
        <v>1665</v>
      </c>
      <c r="P19" s="456" t="s">
        <v>1699</v>
      </c>
      <c r="Q19" s="596">
        <v>130000000</v>
      </c>
      <c r="R19" s="589">
        <f>14800000+14800000+15000000+14800000+6000000</f>
        <v>65400000</v>
      </c>
      <c r="S19" s="589"/>
      <c r="T19" s="589"/>
      <c r="U19" s="589">
        <f>+Q19-R19+S19-T19</f>
        <v>64600000</v>
      </c>
      <c r="V19" s="590" t="s">
        <v>1700</v>
      </c>
      <c r="W19" s="23">
        <v>61</v>
      </c>
      <c r="X19" s="115" t="s">
        <v>1668</v>
      </c>
      <c r="Y19" s="591">
        <v>293304</v>
      </c>
      <c r="Z19" s="591">
        <v>272744</v>
      </c>
      <c r="AA19" s="591">
        <v>99059</v>
      </c>
      <c r="AB19" s="591">
        <v>36139</v>
      </c>
      <c r="AC19" s="591">
        <v>314186</v>
      </c>
      <c r="AD19" s="591">
        <v>116664</v>
      </c>
      <c r="AE19" s="591">
        <v>3247</v>
      </c>
      <c r="AF19" s="591">
        <v>6804</v>
      </c>
      <c r="AG19" s="591">
        <v>25</v>
      </c>
      <c r="AH19" s="591">
        <v>7</v>
      </c>
      <c r="AI19" s="591">
        <v>0</v>
      </c>
      <c r="AJ19" s="591">
        <v>0</v>
      </c>
      <c r="AK19" s="591">
        <v>50946</v>
      </c>
      <c r="AL19" s="591">
        <v>28554</v>
      </c>
      <c r="AM19" s="591">
        <v>53914</v>
      </c>
      <c r="AN19" s="592">
        <f t="shared" si="1"/>
        <v>566048</v>
      </c>
      <c r="AO19" s="587" t="s">
        <v>1669</v>
      </c>
      <c r="AP19" s="587" t="s">
        <v>1670</v>
      </c>
      <c r="AQ19" s="115" t="s">
        <v>1671</v>
      </c>
    </row>
    <row r="20" spans="1:43" ht="91.5" hidden="1">
      <c r="A20" s="115">
        <v>1</v>
      </c>
      <c r="B20" s="597" t="s">
        <v>513</v>
      </c>
      <c r="C20" s="584">
        <v>19</v>
      </c>
      <c r="D20" s="115" t="s">
        <v>1559</v>
      </c>
      <c r="E20" s="23">
        <v>1905</v>
      </c>
      <c r="F20" s="115" t="s">
        <v>1659</v>
      </c>
      <c r="G20" s="585" t="s">
        <v>1701</v>
      </c>
      <c r="H20" s="586" t="s">
        <v>1697</v>
      </c>
      <c r="I20" s="585">
        <v>190503100</v>
      </c>
      <c r="J20" s="456" t="s">
        <v>1698</v>
      </c>
      <c r="K20" s="460">
        <v>12</v>
      </c>
      <c r="L20" s="115"/>
      <c r="M20" s="115">
        <f t="shared" si="0"/>
        <v>12</v>
      </c>
      <c r="N20" s="587" t="s">
        <v>1664</v>
      </c>
      <c r="O20" s="456" t="s">
        <v>1665</v>
      </c>
      <c r="P20" s="456" t="s">
        <v>1702</v>
      </c>
      <c r="Q20" s="598">
        <v>100000000</v>
      </c>
      <c r="R20" s="589">
        <f>14800000+14800000+14800000</f>
        <v>44400000</v>
      </c>
      <c r="S20" s="589"/>
      <c r="T20" s="589"/>
      <c r="U20" s="589">
        <f>+Q20-R20+S20-T20</f>
        <v>55600000</v>
      </c>
      <c r="V20" s="590" t="s">
        <v>1703</v>
      </c>
      <c r="W20" s="23">
        <v>20</v>
      </c>
      <c r="X20" s="115" t="s">
        <v>67</v>
      </c>
      <c r="Y20" s="591">
        <v>293304</v>
      </c>
      <c r="Z20" s="591">
        <v>272744</v>
      </c>
      <c r="AA20" s="591">
        <v>99059</v>
      </c>
      <c r="AB20" s="591">
        <v>36139</v>
      </c>
      <c r="AC20" s="591">
        <v>314186</v>
      </c>
      <c r="AD20" s="591">
        <v>116664</v>
      </c>
      <c r="AE20" s="591">
        <v>3247</v>
      </c>
      <c r="AF20" s="591">
        <v>6804</v>
      </c>
      <c r="AG20" s="591">
        <v>25</v>
      </c>
      <c r="AH20" s="591">
        <v>7</v>
      </c>
      <c r="AI20" s="591">
        <v>0</v>
      </c>
      <c r="AJ20" s="591">
        <v>0</v>
      </c>
      <c r="AK20" s="591">
        <v>50946</v>
      </c>
      <c r="AL20" s="591">
        <v>28554</v>
      </c>
      <c r="AM20" s="591">
        <v>53914</v>
      </c>
      <c r="AN20" s="592">
        <f t="shared" si="1"/>
        <v>566048</v>
      </c>
      <c r="AO20" s="587" t="s">
        <v>1669</v>
      </c>
      <c r="AP20" s="587" t="s">
        <v>1670</v>
      </c>
      <c r="AQ20" s="115" t="s">
        <v>1671</v>
      </c>
    </row>
    <row r="21" spans="1:43" ht="91.5" hidden="1">
      <c r="A21" s="115">
        <v>1</v>
      </c>
      <c r="B21" s="597" t="s">
        <v>513</v>
      </c>
      <c r="C21" s="584">
        <v>19</v>
      </c>
      <c r="D21" s="115" t="s">
        <v>1559</v>
      </c>
      <c r="E21" s="23">
        <v>1905</v>
      </c>
      <c r="F21" s="115" t="s">
        <v>1659</v>
      </c>
      <c r="G21" s="585" t="s">
        <v>1701</v>
      </c>
      <c r="H21" s="586" t="s">
        <v>1697</v>
      </c>
      <c r="I21" s="585">
        <v>190503100</v>
      </c>
      <c r="J21" s="456" t="s">
        <v>1698</v>
      </c>
      <c r="K21" s="460">
        <v>12</v>
      </c>
      <c r="L21" s="115"/>
      <c r="M21" s="115">
        <f t="shared" si="0"/>
        <v>12</v>
      </c>
      <c r="N21" s="587" t="s">
        <v>1664</v>
      </c>
      <c r="O21" s="456" t="s">
        <v>1665</v>
      </c>
      <c r="P21" s="456" t="s">
        <v>1704</v>
      </c>
      <c r="Q21" s="588">
        <v>45000000</v>
      </c>
      <c r="R21" s="589">
        <f>14800000+14800000</f>
        <v>29600000</v>
      </c>
      <c r="S21" s="589"/>
      <c r="T21" s="589"/>
      <c r="U21" s="589">
        <f>+Q21-R21+S21-T21</f>
        <v>15400000</v>
      </c>
      <c r="V21" s="590" t="s">
        <v>1705</v>
      </c>
      <c r="W21" s="23">
        <v>20</v>
      </c>
      <c r="X21" s="115" t="s">
        <v>67</v>
      </c>
      <c r="Y21" s="591">
        <v>293304</v>
      </c>
      <c r="Z21" s="591">
        <v>272744</v>
      </c>
      <c r="AA21" s="591">
        <v>99059</v>
      </c>
      <c r="AB21" s="591">
        <v>36139</v>
      </c>
      <c r="AC21" s="591">
        <v>314186</v>
      </c>
      <c r="AD21" s="591">
        <v>116664</v>
      </c>
      <c r="AE21" s="591">
        <v>3247</v>
      </c>
      <c r="AF21" s="591">
        <v>6804</v>
      </c>
      <c r="AG21" s="591">
        <v>25</v>
      </c>
      <c r="AH21" s="591">
        <v>7</v>
      </c>
      <c r="AI21" s="591">
        <v>0</v>
      </c>
      <c r="AJ21" s="591">
        <v>0</v>
      </c>
      <c r="AK21" s="591">
        <v>50946</v>
      </c>
      <c r="AL21" s="591">
        <v>28554</v>
      </c>
      <c r="AM21" s="591">
        <v>53914</v>
      </c>
      <c r="AN21" s="592">
        <f t="shared" si="1"/>
        <v>566048</v>
      </c>
      <c r="AO21" s="587" t="s">
        <v>1669</v>
      </c>
      <c r="AP21" s="587" t="s">
        <v>1670</v>
      </c>
      <c r="AQ21" s="115" t="s">
        <v>1671</v>
      </c>
    </row>
    <row r="22" spans="1:43" ht="76.5" hidden="1">
      <c r="A22" s="115">
        <v>1</v>
      </c>
      <c r="B22" s="597" t="s">
        <v>513</v>
      </c>
      <c r="C22" s="584">
        <v>19</v>
      </c>
      <c r="D22" s="115" t="s">
        <v>1559</v>
      </c>
      <c r="E22" s="23">
        <v>1905</v>
      </c>
      <c r="F22" s="115" t="s">
        <v>1659</v>
      </c>
      <c r="G22" s="593">
        <v>1905041</v>
      </c>
      <c r="H22" s="594" t="s">
        <v>1706</v>
      </c>
      <c r="I22" s="585">
        <v>190504100</v>
      </c>
      <c r="J22" s="594" t="s">
        <v>1707</v>
      </c>
      <c r="K22" s="457">
        <v>144</v>
      </c>
      <c r="L22" s="115">
        <v>50</v>
      </c>
      <c r="M22" s="115">
        <f t="shared" si="0"/>
        <v>194</v>
      </c>
      <c r="N22" s="587" t="s">
        <v>1664</v>
      </c>
      <c r="O22" s="456" t="s">
        <v>1665</v>
      </c>
      <c r="P22" s="456" t="s">
        <v>1708</v>
      </c>
      <c r="Q22" s="596">
        <v>140000000</v>
      </c>
      <c r="R22" s="589">
        <f>11600000+17550000+17550000+15600000</f>
        <v>62300000</v>
      </c>
      <c r="S22" s="589"/>
      <c r="T22" s="589"/>
      <c r="U22" s="589">
        <f>+Q22-R22+S22-T22</f>
        <v>77700000</v>
      </c>
      <c r="V22" s="590" t="s">
        <v>1709</v>
      </c>
      <c r="W22" s="23">
        <v>61</v>
      </c>
      <c r="X22" s="115" t="s">
        <v>1668</v>
      </c>
      <c r="Y22" s="591">
        <v>293304</v>
      </c>
      <c r="Z22" s="591">
        <v>272744</v>
      </c>
      <c r="AA22" s="591">
        <v>99059</v>
      </c>
      <c r="AB22" s="591">
        <v>36139</v>
      </c>
      <c r="AC22" s="591">
        <v>314186</v>
      </c>
      <c r="AD22" s="591">
        <v>116664</v>
      </c>
      <c r="AE22" s="591">
        <v>3247</v>
      </c>
      <c r="AF22" s="591">
        <v>6804</v>
      </c>
      <c r="AG22" s="591">
        <v>25</v>
      </c>
      <c r="AH22" s="591">
        <v>7</v>
      </c>
      <c r="AI22" s="591">
        <v>0</v>
      </c>
      <c r="AJ22" s="591">
        <v>0</v>
      </c>
      <c r="AK22" s="591">
        <v>50946</v>
      </c>
      <c r="AL22" s="591">
        <v>28554</v>
      </c>
      <c r="AM22" s="591">
        <v>53914</v>
      </c>
      <c r="AN22" s="592">
        <f t="shared" si="1"/>
        <v>566048</v>
      </c>
      <c r="AO22" s="587" t="s">
        <v>1669</v>
      </c>
      <c r="AP22" s="587" t="s">
        <v>1670</v>
      </c>
      <c r="AQ22" s="115" t="s">
        <v>1671</v>
      </c>
    </row>
    <row r="23" spans="1:43" ht="121.5" hidden="1">
      <c r="A23" s="115">
        <v>1</v>
      </c>
      <c r="B23" s="597" t="s">
        <v>513</v>
      </c>
      <c r="C23" s="584">
        <v>19</v>
      </c>
      <c r="D23" s="115" t="s">
        <v>1559</v>
      </c>
      <c r="E23" s="23">
        <v>1905</v>
      </c>
      <c r="F23" s="115" t="s">
        <v>1659</v>
      </c>
      <c r="G23" s="585">
        <v>1905050</v>
      </c>
      <c r="H23" s="456" t="s">
        <v>162</v>
      </c>
      <c r="I23" s="585">
        <v>190505001</v>
      </c>
      <c r="J23" s="456" t="s">
        <v>1710</v>
      </c>
      <c r="K23" s="265">
        <v>24</v>
      </c>
      <c r="L23" s="115"/>
      <c r="M23" s="115">
        <f t="shared" si="0"/>
        <v>24</v>
      </c>
      <c r="N23" s="587" t="s">
        <v>1664</v>
      </c>
      <c r="O23" s="456" t="s">
        <v>1665</v>
      </c>
      <c r="P23" s="456" t="s">
        <v>1711</v>
      </c>
      <c r="Q23" s="588">
        <v>45000000</v>
      </c>
      <c r="R23" s="589">
        <v>16000000</v>
      </c>
      <c r="S23" s="589"/>
      <c r="T23" s="589"/>
      <c r="U23" s="589">
        <f>+Q23-R23+S23-T23</f>
        <v>29000000</v>
      </c>
      <c r="V23" s="590" t="s">
        <v>1712</v>
      </c>
      <c r="W23" s="23">
        <v>61</v>
      </c>
      <c r="X23" s="115" t="s">
        <v>1668</v>
      </c>
      <c r="Y23" s="591">
        <v>293304</v>
      </c>
      <c r="Z23" s="591">
        <v>272744</v>
      </c>
      <c r="AA23" s="591">
        <v>99059</v>
      </c>
      <c r="AB23" s="591">
        <v>36139</v>
      </c>
      <c r="AC23" s="591">
        <v>314186</v>
      </c>
      <c r="AD23" s="591">
        <v>116664</v>
      </c>
      <c r="AE23" s="591">
        <v>3247</v>
      </c>
      <c r="AF23" s="591">
        <v>6804</v>
      </c>
      <c r="AG23" s="591">
        <v>25</v>
      </c>
      <c r="AH23" s="591">
        <v>7</v>
      </c>
      <c r="AI23" s="591">
        <v>0</v>
      </c>
      <c r="AJ23" s="591">
        <v>0</v>
      </c>
      <c r="AK23" s="591">
        <v>50946</v>
      </c>
      <c r="AL23" s="591">
        <v>28554</v>
      </c>
      <c r="AM23" s="591">
        <v>53914</v>
      </c>
      <c r="AN23" s="592">
        <f t="shared" si="1"/>
        <v>566048</v>
      </c>
      <c r="AO23" s="587" t="s">
        <v>1669</v>
      </c>
      <c r="AP23" s="587" t="s">
        <v>1670</v>
      </c>
      <c r="AQ23" s="115" t="s">
        <v>1671</v>
      </c>
    </row>
    <row r="24" spans="1:43" ht="60.75" hidden="1">
      <c r="A24" s="115">
        <v>1</v>
      </c>
      <c r="B24" s="597" t="s">
        <v>513</v>
      </c>
      <c r="C24" s="584">
        <v>19</v>
      </c>
      <c r="D24" s="115" t="s">
        <v>1559</v>
      </c>
      <c r="E24" s="23">
        <v>1905</v>
      </c>
      <c r="F24" s="115" t="s">
        <v>1659</v>
      </c>
      <c r="G24" s="593">
        <v>1905054</v>
      </c>
      <c r="H24" s="595" t="s">
        <v>1713</v>
      </c>
      <c r="I24" s="585">
        <v>190505408</v>
      </c>
      <c r="J24" s="586" t="s">
        <v>1714</v>
      </c>
      <c r="K24" s="599">
        <v>11</v>
      </c>
      <c r="L24" s="115"/>
      <c r="M24" s="115">
        <f t="shared" si="0"/>
        <v>11</v>
      </c>
      <c r="N24" s="587" t="s">
        <v>1664</v>
      </c>
      <c r="O24" s="456" t="s">
        <v>1665</v>
      </c>
      <c r="P24" s="456" t="s">
        <v>1715</v>
      </c>
      <c r="Q24" s="588">
        <v>29800681.899999999</v>
      </c>
      <c r="R24" s="589">
        <v>14800000</v>
      </c>
      <c r="S24" s="589"/>
      <c r="T24" s="589"/>
      <c r="U24" s="589">
        <f>+Q24-R24+S24-T24</f>
        <v>15000681.899999999</v>
      </c>
      <c r="V24" s="590" t="s">
        <v>1716</v>
      </c>
      <c r="W24" s="23">
        <v>61</v>
      </c>
      <c r="X24" s="115" t="s">
        <v>1668</v>
      </c>
      <c r="Y24" s="591">
        <v>293304</v>
      </c>
      <c r="Z24" s="591">
        <v>272744</v>
      </c>
      <c r="AA24" s="591">
        <v>99059</v>
      </c>
      <c r="AB24" s="591">
        <v>36139</v>
      </c>
      <c r="AC24" s="591">
        <v>314186</v>
      </c>
      <c r="AD24" s="591">
        <v>116664</v>
      </c>
      <c r="AE24" s="591">
        <v>3247</v>
      </c>
      <c r="AF24" s="591">
        <v>6804</v>
      </c>
      <c r="AG24" s="591">
        <v>25</v>
      </c>
      <c r="AH24" s="591">
        <v>7</v>
      </c>
      <c r="AI24" s="591">
        <v>0</v>
      </c>
      <c r="AJ24" s="591">
        <v>0</v>
      </c>
      <c r="AK24" s="591">
        <v>50946</v>
      </c>
      <c r="AL24" s="591">
        <v>28554</v>
      </c>
      <c r="AM24" s="591">
        <v>53914</v>
      </c>
      <c r="AN24" s="592">
        <f t="shared" si="1"/>
        <v>566048</v>
      </c>
      <c r="AO24" s="587" t="s">
        <v>1669</v>
      </c>
      <c r="AP24" s="587" t="s">
        <v>1670</v>
      </c>
      <c r="AQ24" s="115" t="s">
        <v>1671</v>
      </c>
    </row>
    <row r="25" spans="1:43" ht="91.5" hidden="1">
      <c r="A25" s="115">
        <v>1</v>
      </c>
      <c r="B25" s="597" t="s">
        <v>513</v>
      </c>
      <c r="C25" s="584">
        <v>19</v>
      </c>
      <c r="D25" s="115" t="s">
        <v>1559</v>
      </c>
      <c r="E25" s="23">
        <v>1905</v>
      </c>
      <c r="F25" s="115" t="s">
        <v>1659</v>
      </c>
      <c r="G25" s="593">
        <v>1905054</v>
      </c>
      <c r="H25" s="594" t="s">
        <v>1713</v>
      </c>
      <c r="I25" s="585">
        <v>190505413</v>
      </c>
      <c r="J25" s="594" t="s">
        <v>1717</v>
      </c>
      <c r="K25" s="444">
        <v>11</v>
      </c>
      <c r="L25" s="115"/>
      <c r="M25" s="115">
        <f t="shared" si="0"/>
        <v>11</v>
      </c>
      <c r="N25" s="587" t="s">
        <v>1664</v>
      </c>
      <c r="O25" s="456" t="s">
        <v>1665</v>
      </c>
      <c r="P25" s="456" t="s">
        <v>1718</v>
      </c>
      <c r="Q25" s="596">
        <v>50000000</v>
      </c>
      <c r="R25" s="589">
        <v>14800000</v>
      </c>
      <c r="S25" s="589"/>
      <c r="T25" s="589"/>
      <c r="U25" s="589">
        <f>+Q25-R25+S25-T25</f>
        <v>35200000</v>
      </c>
      <c r="V25" s="590" t="s">
        <v>1716</v>
      </c>
      <c r="W25" s="23">
        <v>61</v>
      </c>
      <c r="X25" s="115" t="s">
        <v>1668</v>
      </c>
      <c r="Y25" s="591">
        <v>293304</v>
      </c>
      <c r="Z25" s="591">
        <v>272744</v>
      </c>
      <c r="AA25" s="591">
        <v>99059</v>
      </c>
      <c r="AB25" s="591">
        <v>36139</v>
      </c>
      <c r="AC25" s="591">
        <v>314186</v>
      </c>
      <c r="AD25" s="591">
        <v>116664</v>
      </c>
      <c r="AE25" s="591">
        <v>3247</v>
      </c>
      <c r="AF25" s="591">
        <v>6804</v>
      </c>
      <c r="AG25" s="591">
        <v>25</v>
      </c>
      <c r="AH25" s="591">
        <v>7</v>
      </c>
      <c r="AI25" s="591">
        <v>0</v>
      </c>
      <c r="AJ25" s="591">
        <v>0</v>
      </c>
      <c r="AK25" s="591">
        <v>50946</v>
      </c>
      <c r="AL25" s="591">
        <v>28554</v>
      </c>
      <c r="AM25" s="591">
        <v>53914</v>
      </c>
      <c r="AN25" s="592">
        <f t="shared" si="1"/>
        <v>566048</v>
      </c>
      <c r="AO25" s="587" t="s">
        <v>1669</v>
      </c>
      <c r="AP25" s="587" t="s">
        <v>1670</v>
      </c>
      <c r="AQ25" s="115" t="s">
        <v>1671</v>
      </c>
    </row>
    <row r="26" spans="1:43" ht="91.5" hidden="1">
      <c r="A26" s="115">
        <v>1</v>
      </c>
      <c r="B26" s="597" t="s">
        <v>513</v>
      </c>
      <c r="C26" s="584">
        <v>19</v>
      </c>
      <c r="D26" s="115" t="s">
        <v>1559</v>
      </c>
      <c r="E26" s="23">
        <v>1905</v>
      </c>
      <c r="F26" s="115" t="s">
        <v>1659</v>
      </c>
      <c r="G26" s="593">
        <v>1905054</v>
      </c>
      <c r="H26" s="594" t="s">
        <v>1713</v>
      </c>
      <c r="I26" s="585">
        <v>190505413</v>
      </c>
      <c r="J26" s="594" t="s">
        <v>1717</v>
      </c>
      <c r="K26" s="444">
        <v>11</v>
      </c>
      <c r="L26" s="115"/>
      <c r="M26" s="115">
        <f t="shared" si="0"/>
        <v>11</v>
      </c>
      <c r="N26" s="587" t="s">
        <v>1664</v>
      </c>
      <c r="O26" s="456" t="s">
        <v>1665</v>
      </c>
      <c r="P26" s="456" t="s">
        <v>1719</v>
      </c>
      <c r="Q26" s="596">
        <v>52000000</v>
      </c>
      <c r="R26" s="589"/>
      <c r="S26" s="589"/>
      <c r="T26" s="589"/>
      <c r="U26" s="589">
        <f>+Q26-R26+S26-T26</f>
        <v>52000000</v>
      </c>
      <c r="V26" s="590" t="s">
        <v>1720</v>
      </c>
      <c r="W26" s="23">
        <v>20</v>
      </c>
      <c r="X26" s="115" t="s">
        <v>67</v>
      </c>
      <c r="Y26" s="591">
        <v>293304</v>
      </c>
      <c r="Z26" s="591">
        <v>272744</v>
      </c>
      <c r="AA26" s="591">
        <v>99059</v>
      </c>
      <c r="AB26" s="591">
        <v>36139</v>
      </c>
      <c r="AC26" s="591">
        <v>314186</v>
      </c>
      <c r="AD26" s="591">
        <v>116664</v>
      </c>
      <c r="AE26" s="591">
        <v>3247</v>
      </c>
      <c r="AF26" s="591">
        <v>6804</v>
      </c>
      <c r="AG26" s="591">
        <v>25</v>
      </c>
      <c r="AH26" s="591">
        <v>7</v>
      </c>
      <c r="AI26" s="591">
        <v>0</v>
      </c>
      <c r="AJ26" s="591">
        <v>0</v>
      </c>
      <c r="AK26" s="591">
        <v>50946</v>
      </c>
      <c r="AL26" s="591">
        <v>28554</v>
      </c>
      <c r="AM26" s="591">
        <v>53914</v>
      </c>
      <c r="AN26" s="592">
        <f t="shared" si="1"/>
        <v>566048</v>
      </c>
      <c r="AO26" s="587" t="s">
        <v>1669</v>
      </c>
      <c r="AP26" s="587" t="s">
        <v>1670</v>
      </c>
      <c r="AQ26" s="115" t="s">
        <v>1671</v>
      </c>
    </row>
    <row r="27" spans="1:43" ht="45.75" hidden="1">
      <c r="A27" s="115">
        <v>1</v>
      </c>
      <c r="B27" s="597" t="s">
        <v>513</v>
      </c>
      <c r="C27" s="584">
        <v>19</v>
      </c>
      <c r="D27" s="115" t="s">
        <v>1559</v>
      </c>
      <c r="E27" s="23">
        <v>1905</v>
      </c>
      <c r="F27" s="115" t="s">
        <v>1659</v>
      </c>
      <c r="G27" s="585">
        <v>1905009</v>
      </c>
      <c r="H27" s="456" t="s">
        <v>1721</v>
      </c>
      <c r="I27" s="585">
        <v>190500900</v>
      </c>
      <c r="J27" s="456" t="s">
        <v>1722</v>
      </c>
      <c r="K27" s="457">
        <v>1</v>
      </c>
      <c r="L27" s="115"/>
      <c r="M27" s="115">
        <f t="shared" si="0"/>
        <v>1</v>
      </c>
      <c r="N27" s="587" t="s">
        <v>1723</v>
      </c>
      <c r="O27" s="456" t="s">
        <v>1724</v>
      </c>
      <c r="P27" s="456" t="s">
        <v>1725</v>
      </c>
      <c r="Q27" s="600">
        <v>160000000</v>
      </c>
      <c r="R27" s="589">
        <f>20000000+24000000+24000000+24000000+14800000+24000000</f>
        <v>130800000</v>
      </c>
      <c r="S27" s="589"/>
      <c r="T27" s="589"/>
      <c r="U27" s="589">
        <f>+Q27-R27+S27-T27</f>
        <v>29200000</v>
      </c>
      <c r="V27" s="590" t="s">
        <v>1726</v>
      </c>
      <c r="W27" s="23">
        <v>20</v>
      </c>
      <c r="X27" s="115" t="s">
        <v>67</v>
      </c>
      <c r="Y27" s="601">
        <v>293304</v>
      </c>
      <c r="Z27" s="601">
        <v>272744</v>
      </c>
      <c r="AA27" s="601">
        <v>99059</v>
      </c>
      <c r="AB27" s="601">
        <v>36139</v>
      </c>
      <c r="AC27" s="601">
        <v>314186</v>
      </c>
      <c r="AD27" s="601">
        <v>116664</v>
      </c>
      <c r="AE27" s="601">
        <v>3247</v>
      </c>
      <c r="AF27" s="601">
        <v>6804</v>
      </c>
      <c r="AG27" s="601">
        <v>25</v>
      </c>
      <c r="AH27" s="601">
        <v>7</v>
      </c>
      <c r="AI27" s="601">
        <v>0</v>
      </c>
      <c r="AJ27" s="601">
        <v>0</v>
      </c>
      <c r="AK27" s="601">
        <v>50946</v>
      </c>
      <c r="AL27" s="601">
        <v>28554</v>
      </c>
      <c r="AM27" s="601">
        <v>53914</v>
      </c>
      <c r="AN27" s="602">
        <f>Y27+Z27</f>
        <v>566048</v>
      </c>
      <c r="AO27" s="587" t="s">
        <v>1669</v>
      </c>
      <c r="AP27" s="587" t="s">
        <v>1670</v>
      </c>
      <c r="AQ27" s="115" t="s">
        <v>1671</v>
      </c>
    </row>
    <row r="28" spans="1:43" ht="45.75" hidden="1">
      <c r="A28" s="115">
        <v>1</v>
      </c>
      <c r="B28" s="597" t="s">
        <v>513</v>
      </c>
      <c r="C28" s="584">
        <v>19</v>
      </c>
      <c r="D28" s="115" t="s">
        <v>1559</v>
      </c>
      <c r="E28" s="23">
        <v>1905</v>
      </c>
      <c r="F28" s="115" t="s">
        <v>1659</v>
      </c>
      <c r="G28" s="585">
        <v>1905009</v>
      </c>
      <c r="H28" s="456" t="s">
        <v>1721</v>
      </c>
      <c r="I28" s="585">
        <v>190500900</v>
      </c>
      <c r="J28" s="456" t="s">
        <v>1722</v>
      </c>
      <c r="K28" s="457">
        <v>1</v>
      </c>
      <c r="L28" s="115"/>
      <c r="M28" s="115">
        <f t="shared" si="0"/>
        <v>1</v>
      </c>
      <c r="N28" s="587" t="s">
        <v>1723</v>
      </c>
      <c r="O28" s="456" t="s">
        <v>1724</v>
      </c>
      <c r="P28" s="456" t="s">
        <v>1727</v>
      </c>
      <c r="Q28" s="600">
        <v>108000000</v>
      </c>
      <c r="R28" s="589"/>
      <c r="S28" s="589"/>
      <c r="T28" s="589"/>
      <c r="U28" s="589">
        <f>+Q28-R28+S28-T28</f>
        <v>108000000</v>
      </c>
      <c r="V28" s="590" t="s">
        <v>1726</v>
      </c>
      <c r="W28" s="23">
        <v>20</v>
      </c>
      <c r="X28" s="115" t="s">
        <v>67</v>
      </c>
      <c r="Y28" s="601">
        <v>293304</v>
      </c>
      <c r="Z28" s="601">
        <v>272744</v>
      </c>
      <c r="AA28" s="601">
        <v>99059</v>
      </c>
      <c r="AB28" s="601">
        <v>36139</v>
      </c>
      <c r="AC28" s="601">
        <v>314186</v>
      </c>
      <c r="AD28" s="601">
        <v>116664</v>
      </c>
      <c r="AE28" s="601">
        <v>3247</v>
      </c>
      <c r="AF28" s="601">
        <v>6804</v>
      </c>
      <c r="AG28" s="601">
        <v>25</v>
      </c>
      <c r="AH28" s="601">
        <v>7</v>
      </c>
      <c r="AI28" s="601">
        <v>0</v>
      </c>
      <c r="AJ28" s="601">
        <v>0</v>
      </c>
      <c r="AK28" s="601">
        <v>50946</v>
      </c>
      <c r="AL28" s="601">
        <v>28554</v>
      </c>
      <c r="AM28" s="601">
        <v>53914</v>
      </c>
      <c r="AN28" s="602">
        <f>Y28+Z28</f>
        <v>566048</v>
      </c>
      <c r="AO28" s="587" t="s">
        <v>1669</v>
      </c>
      <c r="AP28" s="587" t="s">
        <v>1670</v>
      </c>
      <c r="AQ28" s="115" t="s">
        <v>1671</v>
      </c>
    </row>
    <row r="29" spans="1:43" ht="45.75" hidden="1">
      <c r="A29" s="115">
        <v>1</v>
      </c>
      <c r="B29" s="597" t="s">
        <v>513</v>
      </c>
      <c r="C29" s="584">
        <v>19</v>
      </c>
      <c r="D29" s="115" t="s">
        <v>1559</v>
      </c>
      <c r="E29" s="23">
        <v>1905</v>
      </c>
      <c r="F29" s="115" t="s">
        <v>1659</v>
      </c>
      <c r="G29" s="585">
        <v>1905009</v>
      </c>
      <c r="H29" s="456" t="s">
        <v>1721</v>
      </c>
      <c r="I29" s="585">
        <v>190500900</v>
      </c>
      <c r="J29" s="456" t="s">
        <v>1722</v>
      </c>
      <c r="K29" s="457">
        <v>1</v>
      </c>
      <c r="L29" s="115"/>
      <c r="M29" s="115">
        <f t="shared" si="0"/>
        <v>1</v>
      </c>
      <c r="N29" s="587" t="s">
        <v>1723</v>
      </c>
      <c r="O29" s="456" t="s">
        <v>1724</v>
      </c>
      <c r="P29" s="456" t="s">
        <v>1728</v>
      </c>
      <c r="Q29" s="600">
        <v>160000000</v>
      </c>
      <c r="R29" s="589">
        <f>12000000+10800000+12000000+12000000</f>
        <v>46800000</v>
      </c>
      <c r="S29" s="589"/>
      <c r="T29" s="589"/>
      <c r="U29" s="589">
        <f>+Q29-R29+S29-T29</f>
        <v>113200000</v>
      </c>
      <c r="V29" s="590" t="s">
        <v>1726</v>
      </c>
      <c r="W29" s="23">
        <v>20</v>
      </c>
      <c r="X29" s="115" t="s">
        <v>67</v>
      </c>
      <c r="Y29" s="601">
        <v>293304</v>
      </c>
      <c r="Z29" s="601">
        <v>272744</v>
      </c>
      <c r="AA29" s="601">
        <v>99059</v>
      </c>
      <c r="AB29" s="601">
        <v>36139</v>
      </c>
      <c r="AC29" s="601">
        <v>314186</v>
      </c>
      <c r="AD29" s="601">
        <v>116664</v>
      </c>
      <c r="AE29" s="601">
        <v>3247</v>
      </c>
      <c r="AF29" s="601">
        <v>6804</v>
      </c>
      <c r="AG29" s="601">
        <v>25</v>
      </c>
      <c r="AH29" s="601">
        <v>7</v>
      </c>
      <c r="AI29" s="601">
        <v>0</v>
      </c>
      <c r="AJ29" s="601">
        <v>0</v>
      </c>
      <c r="AK29" s="601">
        <v>50946</v>
      </c>
      <c r="AL29" s="601">
        <v>28554</v>
      </c>
      <c r="AM29" s="601">
        <v>53914</v>
      </c>
      <c r="AN29" s="602">
        <f>Y29+Z29</f>
        <v>566048</v>
      </c>
      <c r="AO29" s="587" t="s">
        <v>1669</v>
      </c>
      <c r="AP29" s="587" t="s">
        <v>1670</v>
      </c>
      <c r="AQ29" s="115" t="s">
        <v>1671</v>
      </c>
    </row>
    <row r="30" spans="1:43" ht="45.75" hidden="1">
      <c r="A30" s="115">
        <v>1</v>
      </c>
      <c r="B30" s="597" t="s">
        <v>513</v>
      </c>
      <c r="C30" s="584">
        <v>19</v>
      </c>
      <c r="D30" s="115" t="s">
        <v>1559</v>
      </c>
      <c r="E30" s="603">
        <v>1905</v>
      </c>
      <c r="F30" s="604" t="s">
        <v>1659</v>
      </c>
      <c r="G30" s="605">
        <v>1905009</v>
      </c>
      <c r="H30" s="614" t="s">
        <v>1721</v>
      </c>
      <c r="I30" s="605">
        <v>190500900</v>
      </c>
      <c r="J30" s="614" t="s">
        <v>1722</v>
      </c>
      <c r="K30" s="457">
        <v>1</v>
      </c>
      <c r="L30" s="115"/>
      <c r="M30" s="115">
        <f t="shared" si="0"/>
        <v>1</v>
      </c>
      <c r="N30" s="606" t="s">
        <v>1723</v>
      </c>
      <c r="O30" s="614" t="s">
        <v>1724</v>
      </c>
      <c r="P30" s="456" t="s">
        <v>1729</v>
      </c>
      <c r="Q30" s="607">
        <v>40000000</v>
      </c>
      <c r="R30" s="589"/>
      <c r="S30" s="589"/>
      <c r="T30" s="589"/>
      <c r="U30" s="589">
        <f>+Q30-R30+S30-T30</f>
        <v>40000000</v>
      </c>
      <c r="V30" s="590" t="s">
        <v>1726</v>
      </c>
      <c r="W30" s="23">
        <v>20</v>
      </c>
      <c r="X30" s="115" t="s">
        <v>67</v>
      </c>
      <c r="Y30" s="601">
        <v>293304</v>
      </c>
      <c r="Z30" s="601">
        <v>272744</v>
      </c>
      <c r="AA30" s="601">
        <v>99059</v>
      </c>
      <c r="AB30" s="601">
        <v>36139</v>
      </c>
      <c r="AC30" s="601">
        <v>314186</v>
      </c>
      <c r="AD30" s="601">
        <v>116664</v>
      </c>
      <c r="AE30" s="601">
        <v>3247</v>
      </c>
      <c r="AF30" s="601">
        <v>6804</v>
      </c>
      <c r="AG30" s="601">
        <v>25</v>
      </c>
      <c r="AH30" s="601">
        <v>7</v>
      </c>
      <c r="AI30" s="601">
        <v>0</v>
      </c>
      <c r="AJ30" s="601">
        <v>0</v>
      </c>
      <c r="AK30" s="601">
        <v>50946</v>
      </c>
      <c r="AL30" s="601">
        <v>28554</v>
      </c>
      <c r="AM30" s="601">
        <v>53914</v>
      </c>
      <c r="AN30" s="602">
        <f>Y30+Z30</f>
        <v>566048</v>
      </c>
      <c r="AO30" s="587" t="s">
        <v>1669</v>
      </c>
      <c r="AP30" s="587" t="s">
        <v>1670</v>
      </c>
      <c r="AQ30" s="115" t="s">
        <v>1671</v>
      </c>
    </row>
    <row r="31" spans="1:43" ht="76.5" hidden="1">
      <c r="A31" s="115">
        <v>1</v>
      </c>
      <c r="B31" s="597" t="s">
        <v>513</v>
      </c>
      <c r="C31" s="584">
        <v>19</v>
      </c>
      <c r="D31" s="115" t="s">
        <v>1559</v>
      </c>
      <c r="E31" s="23">
        <v>1906</v>
      </c>
      <c r="F31" s="115" t="s">
        <v>1730</v>
      </c>
      <c r="G31" s="585">
        <v>1906023</v>
      </c>
      <c r="H31" s="456" t="s">
        <v>1731</v>
      </c>
      <c r="I31" s="585">
        <v>190602301</v>
      </c>
      <c r="J31" s="456" t="s">
        <v>1732</v>
      </c>
      <c r="K31" s="608">
        <v>45</v>
      </c>
      <c r="L31" s="115"/>
      <c r="M31" s="115">
        <f t="shared" si="0"/>
        <v>45</v>
      </c>
      <c r="N31" s="587" t="s">
        <v>1733</v>
      </c>
      <c r="O31" s="456" t="s">
        <v>1734</v>
      </c>
      <c r="P31" s="456" t="s">
        <v>1735</v>
      </c>
      <c r="Q31" s="609">
        <v>5463359990</v>
      </c>
      <c r="R31" s="589"/>
      <c r="S31" s="589"/>
      <c r="T31" s="589"/>
      <c r="U31" s="589">
        <f>+Q31-R31+S31-T31</f>
        <v>5463359990</v>
      </c>
      <c r="V31" s="590" t="s">
        <v>1736</v>
      </c>
      <c r="W31" s="23">
        <v>110</v>
      </c>
      <c r="X31" s="604" t="s">
        <v>1737</v>
      </c>
      <c r="Y31" s="591">
        <v>293304</v>
      </c>
      <c r="Z31" s="591">
        <v>272744</v>
      </c>
      <c r="AA31" s="591">
        <v>99059</v>
      </c>
      <c r="AB31" s="591">
        <v>36139</v>
      </c>
      <c r="AC31" s="591">
        <v>314186</v>
      </c>
      <c r="AD31" s="591">
        <v>116664</v>
      </c>
      <c r="AE31" s="591">
        <v>3247</v>
      </c>
      <c r="AF31" s="591">
        <v>6804</v>
      </c>
      <c r="AG31" s="591">
        <v>25</v>
      </c>
      <c r="AH31" s="591">
        <v>7</v>
      </c>
      <c r="AI31" s="591">
        <v>0</v>
      </c>
      <c r="AJ31" s="591">
        <v>0</v>
      </c>
      <c r="AK31" s="591">
        <v>50946</v>
      </c>
      <c r="AL31" s="591">
        <v>28554</v>
      </c>
      <c r="AM31" s="591">
        <v>53914</v>
      </c>
      <c r="AN31" s="592">
        <f>Y31+Z31</f>
        <v>566048</v>
      </c>
      <c r="AO31" s="587" t="s">
        <v>1669</v>
      </c>
      <c r="AP31" s="587" t="s">
        <v>1670</v>
      </c>
      <c r="AQ31" s="115" t="s">
        <v>1671</v>
      </c>
    </row>
    <row r="32" spans="1:43" ht="60.75">
      <c r="A32" s="115">
        <v>1</v>
      </c>
      <c r="B32" s="597" t="s">
        <v>513</v>
      </c>
      <c r="C32" s="584">
        <v>19</v>
      </c>
      <c r="D32" s="115" t="s">
        <v>1559</v>
      </c>
      <c r="E32" s="23">
        <v>1906</v>
      </c>
      <c r="F32" s="115" t="s">
        <v>1730</v>
      </c>
      <c r="G32" s="535">
        <v>1906004</v>
      </c>
      <c r="H32" s="456" t="s">
        <v>1738</v>
      </c>
      <c r="I32" s="585">
        <v>190600400</v>
      </c>
      <c r="J32" s="456" t="s">
        <v>1739</v>
      </c>
      <c r="K32" s="612">
        <v>731</v>
      </c>
      <c r="L32" s="115"/>
      <c r="M32" s="115">
        <f t="shared" si="0"/>
        <v>731</v>
      </c>
      <c r="N32" s="587" t="s">
        <v>1740</v>
      </c>
      <c r="O32" s="456" t="s">
        <v>1741</v>
      </c>
      <c r="P32" s="456" t="s">
        <v>1742</v>
      </c>
      <c r="Q32" s="930">
        <v>35000000</v>
      </c>
      <c r="R32" s="589">
        <f>14800000+14800000</f>
        <v>29600000</v>
      </c>
      <c r="S32" s="589"/>
      <c r="T32" s="589"/>
      <c r="U32" s="589">
        <f>+Q32-R32+S32-T32</f>
        <v>5400000</v>
      </c>
      <c r="V32" s="590" t="s">
        <v>1743</v>
      </c>
      <c r="W32" s="954">
        <v>20</v>
      </c>
      <c r="X32" s="773" t="s">
        <v>67</v>
      </c>
      <c r="Y32" s="955">
        <v>293304</v>
      </c>
      <c r="Z32" s="591">
        <v>272744</v>
      </c>
      <c r="AA32" s="591">
        <v>99059</v>
      </c>
      <c r="AB32" s="591">
        <v>36139</v>
      </c>
      <c r="AC32" s="591">
        <v>314186</v>
      </c>
      <c r="AD32" s="591">
        <v>116664</v>
      </c>
      <c r="AE32" s="591">
        <v>3247</v>
      </c>
      <c r="AF32" s="591">
        <v>6804</v>
      </c>
      <c r="AG32" s="591">
        <v>25</v>
      </c>
      <c r="AH32" s="591">
        <v>7</v>
      </c>
      <c r="AI32" s="591">
        <v>0</v>
      </c>
      <c r="AJ32" s="591">
        <v>0</v>
      </c>
      <c r="AK32" s="591">
        <v>50946</v>
      </c>
      <c r="AL32" s="591">
        <v>28554</v>
      </c>
      <c r="AM32" s="591">
        <v>53914</v>
      </c>
      <c r="AN32" s="592">
        <v>566048</v>
      </c>
      <c r="AO32" s="587" t="s">
        <v>1669</v>
      </c>
      <c r="AP32" s="587" t="s">
        <v>1670</v>
      </c>
      <c r="AQ32" s="115" t="s">
        <v>1671</v>
      </c>
    </row>
    <row r="33" spans="1:43" ht="45.75">
      <c r="A33" s="115">
        <v>1</v>
      </c>
      <c r="B33" s="597" t="s">
        <v>513</v>
      </c>
      <c r="C33" s="584">
        <v>19</v>
      </c>
      <c r="D33" s="115" t="s">
        <v>1559</v>
      </c>
      <c r="E33" s="23">
        <v>1906</v>
      </c>
      <c r="F33" s="115" t="s">
        <v>1730</v>
      </c>
      <c r="G33" s="610">
        <v>1906004</v>
      </c>
      <c r="H33" s="456" t="s">
        <v>1738</v>
      </c>
      <c r="I33" s="585">
        <v>190600401</v>
      </c>
      <c r="J33" s="611" t="s">
        <v>1744</v>
      </c>
      <c r="K33" s="612">
        <v>731</v>
      </c>
      <c r="L33" s="115"/>
      <c r="M33" s="115">
        <f t="shared" si="0"/>
        <v>731</v>
      </c>
      <c r="N33" s="587" t="s">
        <v>1740</v>
      </c>
      <c r="O33" s="456" t="s">
        <v>1741</v>
      </c>
      <c r="P33" s="456" t="s">
        <v>1745</v>
      </c>
      <c r="Q33" s="930">
        <v>35000000</v>
      </c>
      <c r="R33" s="589">
        <v>14800000</v>
      </c>
      <c r="S33" s="589"/>
      <c r="T33" s="589"/>
      <c r="U33" s="589">
        <f>+Q33-R33+S33-T33</f>
        <v>20200000</v>
      </c>
      <c r="V33" s="590" t="s">
        <v>1743</v>
      </c>
      <c r="W33" s="954">
        <v>20</v>
      </c>
      <c r="X33" s="773" t="s">
        <v>67</v>
      </c>
      <c r="Y33" s="955">
        <v>293304</v>
      </c>
      <c r="Z33" s="591">
        <v>272744</v>
      </c>
      <c r="AA33" s="591">
        <v>99059</v>
      </c>
      <c r="AB33" s="591">
        <v>36139</v>
      </c>
      <c r="AC33" s="591">
        <v>314186</v>
      </c>
      <c r="AD33" s="591">
        <v>116664</v>
      </c>
      <c r="AE33" s="591">
        <v>3247</v>
      </c>
      <c r="AF33" s="591">
        <v>6804</v>
      </c>
      <c r="AG33" s="591">
        <v>25</v>
      </c>
      <c r="AH33" s="591">
        <v>7</v>
      </c>
      <c r="AI33" s="591">
        <v>0</v>
      </c>
      <c r="AJ33" s="591">
        <v>0</v>
      </c>
      <c r="AK33" s="591">
        <v>50946</v>
      </c>
      <c r="AL33" s="591">
        <v>28554</v>
      </c>
      <c r="AM33" s="591">
        <v>53914</v>
      </c>
      <c r="AN33" s="592">
        <v>566048</v>
      </c>
      <c r="AO33" s="587" t="s">
        <v>1669</v>
      </c>
      <c r="AP33" s="587" t="s">
        <v>1670</v>
      </c>
      <c r="AQ33" s="115" t="s">
        <v>1671</v>
      </c>
    </row>
    <row r="34" spans="1:43" ht="76.5">
      <c r="A34" s="115">
        <v>1</v>
      </c>
      <c r="B34" s="597" t="s">
        <v>513</v>
      </c>
      <c r="C34" s="584">
        <v>19</v>
      </c>
      <c r="D34" s="115" t="s">
        <v>1559</v>
      </c>
      <c r="E34" s="23">
        <v>1906</v>
      </c>
      <c r="F34" s="115" t="s">
        <v>1730</v>
      </c>
      <c r="G34" s="585" t="s">
        <v>1746</v>
      </c>
      <c r="H34" s="456" t="s">
        <v>1731</v>
      </c>
      <c r="I34" s="585">
        <v>190602300</v>
      </c>
      <c r="J34" s="611" t="s">
        <v>1747</v>
      </c>
      <c r="K34" s="612">
        <v>19899</v>
      </c>
      <c r="L34" s="115"/>
      <c r="M34" s="115">
        <f t="shared" si="0"/>
        <v>19899</v>
      </c>
      <c r="N34" s="587" t="s">
        <v>1740</v>
      </c>
      <c r="O34" s="456" t="s">
        <v>1741</v>
      </c>
      <c r="P34" s="456" t="s">
        <v>1748</v>
      </c>
      <c r="Q34" s="930">
        <v>17000000</v>
      </c>
      <c r="R34" s="589">
        <v>10800000</v>
      </c>
      <c r="S34" s="589"/>
      <c r="T34" s="589"/>
      <c r="U34" s="589">
        <f>+Q34-R34+S34-T34</f>
        <v>6200000</v>
      </c>
      <c r="V34" s="590" t="s">
        <v>1749</v>
      </c>
      <c r="W34" s="954">
        <v>20</v>
      </c>
      <c r="X34" s="773" t="s">
        <v>67</v>
      </c>
      <c r="Y34" s="955">
        <v>293304</v>
      </c>
      <c r="Z34" s="591">
        <v>272744</v>
      </c>
      <c r="AA34" s="591">
        <v>99059</v>
      </c>
      <c r="AB34" s="591">
        <v>36139</v>
      </c>
      <c r="AC34" s="591">
        <v>314186</v>
      </c>
      <c r="AD34" s="591">
        <v>116664</v>
      </c>
      <c r="AE34" s="591">
        <v>3247</v>
      </c>
      <c r="AF34" s="591">
        <v>6804</v>
      </c>
      <c r="AG34" s="591">
        <v>25</v>
      </c>
      <c r="AH34" s="591">
        <v>7</v>
      </c>
      <c r="AI34" s="591">
        <v>0</v>
      </c>
      <c r="AJ34" s="591">
        <v>0</v>
      </c>
      <c r="AK34" s="591">
        <v>50946</v>
      </c>
      <c r="AL34" s="591">
        <v>28554</v>
      </c>
      <c r="AM34" s="591">
        <v>53914</v>
      </c>
      <c r="AN34" s="592">
        <v>566048</v>
      </c>
      <c r="AO34" s="587" t="s">
        <v>1669</v>
      </c>
      <c r="AP34" s="587" t="s">
        <v>1670</v>
      </c>
      <c r="AQ34" s="115" t="s">
        <v>1671</v>
      </c>
    </row>
    <row r="35" spans="1:43" ht="91.5">
      <c r="A35" s="115">
        <v>1</v>
      </c>
      <c r="B35" s="597" t="s">
        <v>513</v>
      </c>
      <c r="C35" s="584">
        <v>19</v>
      </c>
      <c r="D35" s="115" t="s">
        <v>1559</v>
      </c>
      <c r="E35" s="23">
        <v>1906</v>
      </c>
      <c r="F35" s="115" t="s">
        <v>1730</v>
      </c>
      <c r="G35" s="613" t="s">
        <v>1750</v>
      </c>
      <c r="H35" s="456" t="s">
        <v>1751</v>
      </c>
      <c r="I35" s="585">
        <v>190602500</v>
      </c>
      <c r="J35" s="614" t="s">
        <v>1752</v>
      </c>
      <c r="K35" s="618">
        <v>14</v>
      </c>
      <c r="L35" s="115"/>
      <c r="M35" s="115">
        <f t="shared" si="0"/>
        <v>14</v>
      </c>
      <c r="N35" s="587" t="s">
        <v>1740</v>
      </c>
      <c r="O35" s="456" t="s">
        <v>1741</v>
      </c>
      <c r="P35" s="456" t="s">
        <v>1753</v>
      </c>
      <c r="Q35" s="931">
        <v>2995464524.96</v>
      </c>
      <c r="R35" s="589"/>
      <c r="S35" s="589"/>
      <c r="T35" s="589"/>
      <c r="U35" s="589">
        <f>+Q35-R35+S35-T35</f>
        <v>2995464524.96</v>
      </c>
      <c r="V35" s="590" t="s">
        <v>1754</v>
      </c>
      <c r="W35" s="954">
        <v>171</v>
      </c>
      <c r="X35" s="773" t="s">
        <v>1755</v>
      </c>
      <c r="Y35" s="955">
        <v>293304</v>
      </c>
      <c r="Z35" s="591">
        <v>272744</v>
      </c>
      <c r="AA35" s="591">
        <v>99059</v>
      </c>
      <c r="AB35" s="591">
        <v>36139</v>
      </c>
      <c r="AC35" s="591">
        <v>314186</v>
      </c>
      <c r="AD35" s="591">
        <v>116664</v>
      </c>
      <c r="AE35" s="591">
        <v>3247</v>
      </c>
      <c r="AF35" s="591">
        <v>6804</v>
      </c>
      <c r="AG35" s="591">
        <v>25</v>
      </c>
      <c r="AH35" s="591">
        <v>7</v>
      </c>
      <c r="AI35" s="591">
        <v>0</v>
      </c>
      <c r="AJ35" s="591">
        <v>0</v>
      </c>
      <c r="AK35" s="591">
        <v>50946</v>
      </c>
      <c r="AL35" s="591">
        <v>28554</v>
      </c>
      <c r="AM35" s="591">
        <v>53914</v>
      </c>
      <c r="AN35" s="592">
        <v>566048</v>
      </c>
      <c r="AO35" s="587" t="s">
        <v>1669</v>
      </c>
      <c r="AP35" s="587" t="s">
        <v>1670</v>
      </c>
      <c r="AQ35" s="115" t="s">
        <v>1671</v>
      </c>
    </row>
    <row r="36" spans="1:43" ht="91.5">
      <c r="A36" s="115">
        <v>1</v>
      </c>
      <c r="B36" s="597" t="s">
        <v>513</v>
      </c>
      <c r="C36" s="584">
        <v>19</v>
      </c>
      <c r="D36" s="115" t="s">
        <v>1559</v>
      </c>
      <c r="E36" s="23">
        <v>1906</v>
      </c>
      <c r="F36" s="115" t="s">
        <v>1730</v>
      </c>
      <c r="G36" s="613" t="s">
        <v>1750</v>
      </c>
      <c r="H36" s="456" t="s">
        <v>1751</v>
      </c>
      <c r="I36" s="585">
        <v>190602500</v>
      </c>
      <c r="J36" s="614" t="s">
        <v>1752</v>
      </c>
      <c r="K36" s="618">
        <v>14</v>
      </c>
      <c r="L36" s="115"/>
      <c r="M36" s="115">
        <f t="shared" si="0"/>
        <v>14</v>
      </c>
      <c r="N36" s="587" t="s">
        <v>1740</v>
      </c>
      <c r="O36" s="456" t="s">
        <v>1741</v>
      </c>
      <c r="P36" s="456" t="s">
        <v>1756</v>
      </c>
      <c r="Q36" s="615">
        <v>4050627814.3200002</v>
      </c>
      <c r="R36" s="589"/>
      <c r="S36" s="589"/>
      <c r="T36" s="589"/>
      <c r="U36" s="589">
        <f>+Q36-R36+S36-T36</f>
        <v>4050627814.3200002</v>
      </c>
      <c r="V36" s="590" t="s">
        <v>1757</v>
      </c>
      <c r="W36" s="954">
        <v>238</v>
      </c>
      <c r="X36" s="773" t="s">
        <v>1758</v>
      </c>
      <c r="Y36" s="955">
        <v>293304</v>
      </c>
      <c r="Z36" s="591">
        <v>272744</v>
      </c>
      <c r="AA36" s="591">
        <v>99059</v>
      </c>
      <c r="AB36" s="591">
        <v>36139</v>
      </c>
      <c r="AC36" s="591">
        <v>314186</v>
      </c>
      <c r="AD36" s="591">
        <v>116664</v>
      </c>
      <c r="AE36" s="591">
        <v>3247</v>
      </c>
      <c r="AF36" s="591">
        <v>6804</v>
      </c>
      <c r="AG36" s="591">
        <v>25</v>
      </c>
      <c r="AH36" s="591">
        <v>7</v>
      </c>
      <c r="AI36" s="591">
        <v>0</v>
      </c>
      <c r="AJ36" s="591">
        <v>0</v>
      </c>
      <c r="AK36" s="591">
        <v>50946</v>
      </c>
      <c r="AL36" s="591">
        <v>28554</v>
      </c>
      <c r="AM36" s="591">
        <v>53914</v>
      </c>
      <c r="AN36" s="592">
        <v>566048</v>
      </c>
      <c r="AO36" s="587" t="s">
        <v>1669</v>
      </c>
      <c r="AP36" s="587" t="s">
        <v>1670</v>
      </c>
      <c r="AQ36" s="115" t="s">
        <v>1671</v>
      </c>
    </row>
    <row r="37" spans="1:43" ht="91.5">
      <c r="A37" s="115">
        <v>1</v>
      </c>
      <c r="B37" s="597" t="s">
        <v>513</v>
      </c>
      <c r="C37" s="584">
        <v>19</v>
      </c>
      <c r="D37" s="115" t="s">
        <v>1559</v>
      </c>
      <c r="E37" s="23">
        <v>1906</v>
      </c>
      <c r="F37" s="115" t="s">
        <v>1730</v>
      </c>
      <c r="G37" s="613" t="s">
        <v>1750</v>
      </c>
      <c r="H37" s="456" t="s">
        <v>1751</v>
      </c>
      <c r="I37" s="585">
        <v>190602500</v>
      </c>
      <c r="J37" s="614" t="s">
        <v>1752</v>
      </c>
      <c r="K37" s="618">
        <v>14</v>
      </c>
      <c r="L37" s="115"/>
      <c r="M37" s="115">
        <f t="shared" si="0"/>
        <v>14</v>
      </c>
      <c r="N37" s="587" t="s">
        <v>1740</v>
      </c>
      <c r="O37" s="456" t="s">
        <v>1741</v>
      </c>
      <c r="P37" s="456" t="s">
        <v>1759</v>
      </c>
      <c r="Q37" s="615">
        <v>583472850.73000002</v>
      </c>
      <c r="R37" s="589"/>
      <c r="S37" s="589"/>
      <c r="T37" s="589"/>
      <c r="U37" s="589">
        <f>+Q37-R37+S37-T37</f>
        <v>583472850.73000002</v>
      </c>
      <c r="V37" s="590" t="s">
        <v>1760</v>
      </c>
      <c r="W37" s="954">
        <v>241</v>
      </c>
      <c r="X37" s="773" t="s">
        <v>1761</v>
      </c>
      <c r="Y37" s="955">
        <v>293304</v>
      </c>
      <c r="Z37" s="591">
        <v>272744</v>
      </c>
      <c r="AA37" s="591">
        <v>99059</v>
      </c>
      <c r="AB37" s="591">
        <v>36139</v>
      </c>
      <c r="AC37" s="591">
        <v>314186</v>
      </c>
      <c r="AD37" s="591">
        <v>116664</v>
      </c>
      <c r="AE37" s="591">
        <v>3247</v>
      </c>
      <c r="AF37" s="591">
        <v>6804</v>
      </c>
      <c r="AG37" s="591">
        <v>25</v>
      </c>
      <c r="AH37" s="591">
        <v>7</v>
      </c>
      <c r="AI37" s="591">
        <v>0</v>
      </c>
      <c r="AJ37" s="591">
        <v>0</v>
      </c>
      <c r="AK37" s="591">
        <v>50946</v>
      </c>
      <c r="AL37" s="591">
        <v>28554</v>
      </c>
      <c r="AM37" s="591">
        <v>53914</v>
      </c>
      <c r="AN37" s="592">
        <v>566048</v>
      </c>
      <c r="AO37" s="587" t="s">
        <v>1669</v>
      </c>
      <c r="AP37" s="587" t="s">
        <v>1670</v>
      </c>
      <c r="AQ37" s="115" t="s">
        <v>1671</v>
      </c>
    </row>
    <row r="38" spans="1:43" ht="91.5">
      <c r="A38" s="115">
        <v>1</v>
      </c>
      <c r="B38" s="597" t="s">
        <v>513</v>
      </c>
      <c r="C38" s="584">
        <v>19</v>
      </c>
      <c r="D38" s="115" t="s">
        <v>1559</v>
      </c>
      <c r="E38" s="23">
        <v>1906</v>
      </c>
      <c r="F38" s="115" t="s">
        <v>1730</v>
      </c>
      <c r="G38" s="613" t="s">
        <v>1750</v>
      </c>
      <c r="H38" s="456" t="s">
        <v>1751</v>
      </c>
      <c r="I38" s="585">
        <v>190602500</v>
      </c>
      <c r="J38" s="614" t="s">
        <v>1752</v>
      </c>
      <c r="K38" s="618">
        <v>14</v>
      </c>
      <c r="L38" s="115"/>
      <c r="M38" s="115">
        <f t="shared" si="0"/>
        <v>14</v>
      </c>
      <c r="N38" s="587" t="s">
        <v>1740</v>
      </c>
      <c r="O38" s="456" t="s">
        <v>1741</v>
      </c>
      <c r="P38" s="456" t="s">
        <v>1762</v>
      </c>
      <c r="Q38" s="615">
        <v>1215460321.1600001</v>
      </c>
      <c r="R38" s="589"/>
      <c r="S38" s="589"/>
      <c r="T38" s="589"/>
      <c r="U38" s="589">
        <f>+Q38-R38+S38-T38</f>
        <v>1215460321.1600001</v>
      </c>
      <c r="V38" s="590" t="s">
        <v>1763</v>
      </c>
      <c r="W38" s="954">
        <v>244</v>
      </c>
      <c r="X38" s="773" t="s">
        <v>1764</v>
      </c>
      <c r="Y38" s="955">
        <v>293304</v>
      </c>
      <c r="Z38" s="591">
        <v>272744</v>
      </c>
      <c r="AA38" s="591">
        <v>99059</v>
      </c>
      <c r="AB38" s="591">
        <v>36139</v>
      </c>
      <c r="AC38" s="591">
        <v>314186</v>
      </c>
      <c r="AD38" s="591">
        <v>116664</v>
      </c>
      <c r="AE38" s="591">
        <v>3247</v>
      </c>
      <c r="AF38" s="591">
        <v>6804</v>
      </c>
      <c r="AG38" s="591">
        <v>25</v>
      </c>
      <c r="AH38" s="591">
        <v>7</v>
      </c>
      <c r="AI38" s="591">
        <v>0</v>
      </c>
      <c r="AJ38" s="591">
        <v>0</v>
      </c>
      <c r="AK38" s="591">
        <v>50946</v>
      </c>
      <c r="AL38" s="591">
        <v>28554</v>
      </c>
      <c r="AM38" s="591">
        <v>53914</v>
      </c>
      <c r="AN38" s="592">
        <v>566048</v>
      </c>
      <c r="AO38" s="587" t="s">
        <v>1669</v>
      </c>
      <c r="AP38" s="587" t="s">
        <v>1670</v>
      </c>
      <c r="AQ38" s="115" t="s">
        <v>1671</v>
      </c>
    </row>
    <row r="39" spans="1:43" ht="91.5">
      <c r="A39" s="115">
        <v>1</v>
      </c>
      <c r="B39" s="597" t="s">
        <v>513</v>
      </c>
      <c r="C39" s="584">
        <v>19</v>
      </c>
      <c r="D39" s="115" t="s">
        <v>1559</v>
      </c>
      <c r="E39" s="23">
        <v>1906</v>
      </c>
      <c r="F39" s="115" t="s">
        <v>1730</v>
      </c>
      <c r="G39" s="613" t="s">
        <v>1750</v>
      </c>
      <c r="H39" s="456" t="s">
        <v>1751</v>
      </c>
      <c r="I39" s="585">
        <v>190602500</v>
      </c>
      <c r="J39" s="614" t="s">
        <v>1752</v>
      </c>
      <c r="K39" s="618">
        <v>14</v>
      </c>
      <c r="L39" s="115"/>
      <c r="M39" s="115">
        <f t="shared" si="0"/>
        <v>14</v>
      </c>
      <c r="N39" s="587" t="s">
        <v>1740</v>
      </c>
      <c r="O39" s="456" t="s">
        <v>1741</v>
      </c>
      <c r="P39" s="456" t="s">
        <v>1765</v>
      </c>
      <c r="Q39" s="615">
        <v>689264.82</v>
      </c>
      <c r="R39" s="589"/>
      <c r="S39" s="589"/>
      <c r="T39" s="589"/>
      <c r="U39" s="589">
        <f>+Q39-R39+S39-T39</f>
        <v>689264.82</v>
      </c>
      <c r="V39" s="590" t="s">
        <v>1766</v>
      </c>
      <c r="W39" s="954">
        <v>266</v>
      </c>
      <c r="X39" s="773" t="s">
        <v>1767</v>
      </c>
      <c r="Y39" s="955">
        <v>293304</v>
      </c>
      <c r="Z39" s="591">
        <v>272744</v>
      </c>
      <c r="AA39" s="591">
        <v>99059</v>
      </c>
      <c r="AB39" s="591">
        <v>36139</v>
      </c>
      <c r="AC39" s="591">
        <v>314186</v>
      </c>
      <c r="AD39" s="591">
        <v>116664</v>
      </c>
      <c r="AE39" s="591">
        <v>3247</v>
      </c>
      <c r="AF39" s="591">
        <v>6804</v>
      </c>
      <c r="AG39" s="591">
        <v>25</v>
      </c>
      <c r="AH39" s="591">
        <v>7</v>
      </c>
      <c r="AI39" s="591">
        <v>0</v>
      </c>
      <c r="AJ39" s="591">
        <v>0</v>
      </c>
      <c r="AK39" s="591">
        <v>50946</v>
      </c>
      <c r="AL39" s="591">
        <v>28554</v>
      </c>
      <c r="AM39" s="591">
        <v>53914</v>
      </c>
      <c r="AN39" s="592">
        <v>566048</v>
      </c>
      <c r="AO39" s="587" t="s">
        <v>1669</v>
      </c>
      <c r="AP39" s="587" t="s">
        <v>1670</v>
      </c>
      <c r="AQ39" s="115" t="s">
        <v>1671</v>
      </c>
    </row>
    <row r="40" spans="1:43" ht="45.75">
      <c r="A40" s="115">
        <v>1</v>
      </c>
      <c r="B40" s="597" t="s">
        <v>513</v>
      </c>
      <c r="C40" s="584">
        <v>19</v>
      </c>
      <c r="D40" s="115" t="s">
        <v>1559</v>
      </c>
      <c r="E40" s="23">
        <v>1906</v>
      </c>
      <c r="F40" s="115" t="s">
        <v>1730</v>
      </c>
      <c r="G40" s="616">
        <v>1906029</v>
      </c>
      <c r="H40" s="456" t="s">
        <v>1768</v>
      </c>
      <c r="I40" s="585">
        <v>190602900</v>
      </c>
      <c r="J40" s="617" t="s">
        <v>1769</v>
      </c>
      <c r="K40" s="618">
        <v>40</v>
      </c>
      <c r="L40" s="115"/>
      <c r="M40" s="115">
        <f t="shared" si="0"/>
        <v>40</v>
      </c>
      <c r="N40" s="587" t="s">
        <v>1740</v>
      </c>
      <c r="O40" s="456" t="s">
        <v>1741</v>
      </c>
      <c r="P40" s="456" t="s">
        <v>1770</v>
      </c>
      <c r="Q40" s="932">
        <v>70000000</v>
      </c>
      <c r="R40" s="589">
        <f>14800000+14800000+10800000+14800000</f>
        <v>55200000</v>
      </c>
      <c r="S40" s="589"/>
      <c r="T40" s="589"/>
      <c r="U40" s="589">
        <f>+Q40-R40+S40-T40</f>
        <v>14800000</v>
      </c>
      <c r="V40" s="590" t="s">
        <v>1771</v>
      </c>
      <c r="W40" s="954">
        <v>20</v>
      </c>
      <c r="X40" s="773" t="s">
        <v>67</v>
      </c>
      <c r="Y40" s="955">
        <v>293304</v>
      </c>
      <c r="Z40" s="591">
        <v>272744</v>
      </c>
      <c r="AA40" s="591">
        <v>99059</v>
      </c>
      <c r="AB40" s="591">
        <v>36139</v>
      </c>
      <c r="AC40" s="591">
        <v>314186</v>
      </c>
      <c r="AD40" s="591">
        <v>116664</v>
      </c>
      <c r="AE40" s="591">
        <v>3247</v>
      </c>
      <c r="AF40" s="591">
        <v>6804</v>
      </c>
      <c r="AG40" s="591">
        <v>25</v>
      </c>
      <c r="AH40" s="591">
        <v>7</v>
      </c>
      <c r="AI40" s="591">
        <v>0</v>
      </c>
      <c r="AJ40" s="591">
        <v>0</v>
      </c>
      <c r="AK40" s="591">
        <v>50946</v>
      </c>
      <c r="AL40" s="591">
        <v>28554</v>
      </c>
      <c r="AM40" s="591">
        <v>53914</v>
      </c>
      <c r="AN40" s="592">
        <v>566048</v>
      </c>
      <c r="AO40" s="587" t="s">
        <v>1669</v>
      </c>
      <c r="AP40" s="587" t="s">
        <v>1670</v>
      </c>
      <c r="AQ40" s="115" t="s">
        <v>1671</v>
      </c>
    </row>
    <row r="41" spans="1:43" ht="76.5">
      <c r="A41" s="115">
        <v>1</v>
      </c>
      <c r="B41" s="597" t="s">
        <v>513</v>
      </c>
      <c r="C41" s="584">
        <v>19</v>
      </c>
      <c r="D41" s="115" t="s">
        <v>1559</v>
      </c>
      <c r="E41" s="23">
        <v>1906</v>
      </c>
      <c r="F41" s="115" t="s">
        <v>1730</v>
      </c>
      <c r="G41" s="535" t="s">
        <v>1772</v>
      </c>
      <c r="H41" s="456" t="s">
        <v>1773</v>
      </c>
      <c r="I41" s="585">
        <v>190603500</v>
      </c>
      <c r="J41" s="456" t="s">
        <v>1774</v>
      </c>
      <c r="K41" s="612">
        <v>11</v>
      </c>
      <c r="L41" s="115"/>
      <c r="M41" s="115">
        <f t="shared" si="0"/>
        <v>11</v>
      </c>
      <c r="N41" s="587" t="s">
        <v>1740</v>
      </c>
      <c r="O41" s="456" t="s">
        <v>1741</v>
      </c>
      <c r="P41" s="456" t="s">
        <v>1775</v>
      </c>
      <c r="Q41" s="930">
        <v>32842000</v>
      </c>
      <c r="R41" s="589">
        <f>16000000</f>
        <v>16000000</v>
      </c>
      <c r="S41" s="589"/>
      <c r="T41" s="589"/>
      <c r="U41" s="589">
        <f>+Q41-R41+S41-T41</f>
        <v>16842000</v>
      </c>
      <c r="V41" s="590" t="s">
        <v>1776</v>
      </c>
      <c r="W41" s="954">
        <v>20</v>
      </c>
      <c r="X41" s="773" t="s">
        <v>67</v>
      </c>
      <c r="Y41" s="955">
        <v>293304</v>
      </c>
      <c r="Z41" s="591">
        <v>272744</v>
      </c>
      <c r="AA41" s="591">
        <v>99059</v>
      </c>
      <c r="AB41" s="591">
        <v>36139</v>
      </c>
      <c r="AC41" s="591">
        <v>314186</v>
      </c>
      <c r="AD41" s="591">
        <v>116664</v>
      </c>
      <c r="AE41" s="591">
        <v>3247</v>
      </c>
      <c r="AF41" s="591">
        <v>6804</v>
      </c>
      <c r="AG41" s="591">
        <v>25</v>
      </c>
      <c r="AH41" s="591">
        <v>7</v>
      </c>
      <c r="AI41" s="591">
        <v>0</v>
      </c>
      <c r="AJ41" s="591">
        <v>0</v>
      </c>
      <c r="AK41" s="591">
        <v>50946</v>
      </c>
      <c r="AL41" s="591">
        <v>28554</v>
      </c>
      <c r="AM41" s="591">
        <v>53914</v>
      </c>
      <c r="AN41" s="592">
        <v>566048</v>
      </c>
      <c r="AO41" s="587" t="s">
        <v>1669</v>
      </c>
      <c r="AP41" s="587" t="s">
        <v>1670</v>
      </c>
      <c r="AQ41" s="115" t="s">
        <v>1671</v>
      </c>
    </row>
    <row r="42" spans="1:43" ht="45.75">
      <c r="A42" s="115">
        <v>1</v>
      </c>
      <c r="B42" s="597" t="s">
        <v>513</v>
      </c>
      <c r="C42" s="584">
        <v>19</v>
      </c>
      <c r="D42" s="115" t="s">
        <v>1559</v>
      </c>
      <c r="E42" s="23">
        <v>1906</v>
      </c>
      <c r="F42" s="115" t="s">
        <v>1730</v>
      </c>
      <c r="G42" s="585" t="s">
        <v>1777</v>
      </c>
      <c r="H42" s="456" t="s">
        <v>162</v>
      </c>
      <c r="I42" s="585">
        <v>190604100</v>
      </c>
      <c r="J42" s="619" t="s">
        <v>1778</v>
      </c>
      <c r="K42" s="612">
        <v>170</v>
      </c>
      <c r="L42" s="115"/>
      <c r="M42" s="115">
        <f t="shared" si="0"/>
        <v>170</v>
      </c>
      <c r="N42" s="587" t="s">
        <v>1740</v>
      </c>
      <c r="O42" s="456" t="s">
        <v>1741</v>
      </c>
      <c r="P42" s="456" t="s">
        <v>1779</v>
      </c>
      <c r="Q42" s="930">
        <v>40000000</v>
      </c>
      <c r="R42" s="589">
        <v>16000000</v>
      </c>
      <c r="S42" s="589"/>
      <c r="T42" s="589"/>
      <c r="U42" s="589">
        <f>+Q42-R42+S42-T42</f>
        <v>24000000</v>
      </c>
      <c r="V42" s="590" t="s">
        <v>1780</v>
      </c>
      <c r="W42" s="954">
        <v>20</v>
      </c>
      <c r="X42" s="773" t="s">
        <v>67</v>
      </c>
      <c r="Y42" s="955">
        <v>293304</v>
      </c>
      <c r="Z42" s="591">
        <v>272744</v>
      </c>
      <c r="AA42" s="591">
        <v>99059</v>
      </c>
      <c r="AB42" s="591">
        <v>36139</v>
      </c>
      <c r="AC42" s="591">
        <v>314186</v>
      </c>
      <c r="AD42" s="591">
        <v>116664</v>
      </c>
      <c r="AE42" s="591">
        <v>3247</v>
      </c>
      <c r="AF42" s="591">
        <v>6804</v>
      </c>
      <c r="AG42" s="591">
        <v>25</v>
      </c>
      <c r="AH42" s="591">
        <v>7</v>
      </c>
      <c r="AI42" s="591">
        <v>0</v>
      </c>
      <c r="AJ42" s="591">
        <v>0</v>
      </c>
      <c r="AK42" s="591">
        <v>50946</v>
      </c>
      <c r="AL42" s="591">
        <v>28554</v>
      </c>
      <c r="AM42" s="591">
        <v>53914</v>
      </c>
      <c r="AN42" s="592">
        <v>566048</v>
      </c>
      <c r="AO42" s="587" t="s">
        <v>1669</v>
      </c>
      <c r="AP42" s="587" t="s">
        <v>1670</v>
      </c>
      <c r="AQ42" s="115" t="s">
        <v>1671</v>
      </c>
    </row>
    <row r="43" spans="1:43" ht="45.75">
      <c r="A43" s="115">
        <v>1</v>
      </c>
      <c r="B43" s="597" t="s">
        <v>513</v>
      </c>
      <c r="C43" s="584">
        <v>19</v>
      </c>
      <c r="D43" s="115" t="s">
        <v>1559</v>
      </c>
      <c r="E43" s="23">
        <v>1906</v>
      </c>
      <c r="F43" s="115" t="s">
        <v>1730</v>
      </c>
      <c r="G43" s="115">
        <v>1906044</v>
      </c>
      <c r="H43" s="456" t="s">
        <v>1781</v>
      </c>
      <c r="I43" s="585">
        <v>190604400</v>
      </c>
      <c r="J43" s="611" t="s">
        <v>1782</v>
      </c>
      <c r="K43" s="618">
        <v>274205</v>
      </c>
      <c r="L43" s="115"/>
      <c r="M43" s="115">
        <f t="shared" si="0"/>
        <v>274205</v>
      </c>
      <c r="N43" s="587" t="s">
        <v>1740</v>
      </c>
      <c r="O43" s="456" t="s">
        <v>1741</v>
      </c>
      <c r="P43" s="456" t="s">
        <v>1783</v>
      </c>
      <c r="Q43" s="932">
        <v>2000000000</v>
      </c>
      <c r="R43" s="589"/>
      <c r="S43" s="589"/>
      <c r="T43" s="589"/>
      <c r="U43" s="589">
        <f>+Q43-R43+S43-T43</f>
        <v>2000000000</v>
      </c>
      <c r="V43" s="590" t="s">
        <v>1784</v>
      </c>
      <c r="W43" s="954">
        <v>35</v>
      </c>
      <c r="X43" s="773" t="s">
        <v>1194</v>
      </c>
      <c r="Y43" s="955">
        <v>293304</v>
      </c>
      <c r="Z43" s="591">
        <v>272744</v>
      </c>
      <c r="AA43" s="591">
        <v>99059</v>
      </c>
      <c r="AB43" s="591">
        <v>36139</v>
      </c>
      <c r="AC43" s="591">
        <v>314186</v>
      </c>
      <c r="AD43" s="591">
        <v>116664</v>
      </c>
      <c r="AE43" s="591">
        <v>3247</v>
      </c>
      <c r="AF43" s="591">
        <v>6804</v>
      </c>
      <c r="AG43" s="591">
        <v>25</v>
      </c>
      <c r="AH43" s="591">
        <v>7</v>
      </c>
      <c r="AI43" s="591">
        <v>0</v>
      </c>
      <c r="AJ43" s="591">
        <v>0</v>
      </c>
      <c r="AK43" s="591">
        <v>50946</v>
      </c>
      <c r="AL43" s="591">
        <v>28554</v>
      </c>
      <c r="AM43" s="591">
        <v>53914</v>
      </c>
      <c r="AN43" s="592">
        <v>566048</v>
      </c>
      <c r="AO43" s="587" t="s">
        <v>1669</v>
      </c>
      <c r="AP43" s="587" t="s">
        <v>1670</v>
      </c>
      <c r="AQ43" s="115" t="s">
        <v>1671</v>
      </c>
    </row>
    <row r="44" spans="1:43" ht="45.75">
      <c r="A44" s="115">
        <v>1</v>
      </c>
      <c r="B44" s="597" t="s">
        <v>513</v>
      </c>
      <c r="C44" s="584">
        <v>19</v>
      </c>
      <c r="D44" s="115" t="s">
        <v>1559</v>
      </c>
      <c r="E44" s="23">
        <v>1906</v>
      </c>
      <c r="F44" s="115" t="s">
        <v>1730</v>
      </c>
      <c r="G44" s="611">
        <v>1906044</v>
      </c>
      <c r="H44" s="456" t="s">
        <v>1781</v>
      </c>
      <c r="I44" s="585">
        <v>190604400</v>
      </c>
      <c r="J44" s="611" t="s">
        <v>1782</v>
      </c>
      <c r="K44" s="618">
        <v>274205</v>
      </c>
      <c r="L44" s="115"/>
      <c r="M44" s="115">
        <f t="shared" si="0"/>
        <v>274205</v>
      </c>
      <c r="N44" s="587" t="s">
        <v>1740</v>
      </c>
      <c r="O44" s="456" t="s">
        <v>1741</v>
      </c>
      <c r="P44" s="456" t="s">
        <v>1785</v>
      </c>
      <c r="Q44" s="615">
        <v>5650708600.9566984</v>
      </c>
      <c r="R44" s="589"/>
      <c r="S44" s="589"/>
      <c r="T44" s="589"/>
      <c r="U44" s="589">
        <f>+Q44-R44+S44-T44</f>
        <v>5650708600.9566984</v>
      </c>
      <c r="V44" s="590" t="s">
        <v>1786</v>
      </c>
      <c r="W44" s="954">
        <v>154</v>
      </c>
      <c r="X44" s="773" t="s">
        <v>1787</v>
      </c>
      <c r="Y44" s="955">
        <v>293304</v>
      </c>
      <c r="Z44" s="591">
        <v>272744</v>
      </c>
      <c r="AA44" s="591">
        <v>99059</v>
      </c>
      <c r="AB44" s="591">
        <v>36139</v>
      </c>
      <c r="AC44" s="591">
        <v>314186</v>
      </c>
      <c r="AD44" s="591">
        <v>116664</v>
      </c>
      <c r="AE44" s="591">
        <v>3247</v>
      </c>
      <c r="AF44" s="591">
        <v>6804</v>
      </c>
      <c r="AG44" s="591">
        <v>25</v>
      </c>
      <c r="AH44" s="591">
        <v>7</v>
      </c>
      <c r="AI44" s="591">
        <v>0</v>
      </c>
      <c r="AJ44" s="591">
        <v>0</v>
      </c>
      <c r="AK44" s="591">
        <v>50946</v>
      </c>
      <c r="AL44" s="591">
        <v>28554</v>
      </c>
      <c r="AM44" s="591">
        <v>53914</v>
      </c>
      <c r="AN44" s="592">
        <v>566048</v>
      </c>
      <c r="AO44" s="587" t="s">
        <v>1669</v>
      </c>
      <c r="AP44" s="587" t="s">
        <v>1670</v>
      </c>
      <c r="AQ44" s="115" t="s">
        <v>1671</v>
      </c>
    </row>
    <row r="45" spans="1:43" ht="45.75">
      <c r="A45" s="115">
        <v>1</v>
      </c>
      <c r="B45" s="597" t="s">
        <v>513</v>
      </c>
      <c r="C45" s="584">
        <v>19</v>
      </c>
      <c r="D45" s="115" t="s">
        <v>1559</v>
      </c>
      <c r="E45" s="23">
        <v>1906</v>
      </c>
      <c r="F45" s="115" t="s">
        <v>1730</v>
      </c>
      <c r="G45" s="115">
        <v>1906044</v>
      </c>
      <c r="H45" s="456" t="s">
        <v>1781</v>
      </c>
      <c r="I45" s="585">
        <v>190604400</v>
      </c>
      <c r="J45" s="611" t="s">
        <v>1782</v>
      </c>
      <c r="K45" s="618">
        <v>274205</v>
      </c>
      <c r="L45" s="115"/>
      <c r="M45" s="115">
        <f t="shared" si="0"/>
        <v>274205</v>
      </c>
      <c r="N45" s="587" t="s">
        <v>1740</v>
      </c>
      <c r="O45" s="456" t="s">
        <v>1741</v>
      </c>
      <c r="P45" s="456" t="s">
        <v>1788</v>
      </c>
      <c r="Q45" s="615">
        <v>68402538.165002495</v>
      </c>
      <c r="R45" s="589"/>
      <c r="S45" s="589"/>
      <c r="T45" s="589"/>
      <c r="U45" s="589">
        <f>+Q45-R45+S45-T45</f>
        <v>68402538.165002495</v>
      </c>
      <c r="V45" s="590" t="s">
        <v>1789</v>
      </c>
      <c r="W45" s="954">
        <v>154</v>
      </c>
      <c r="X45" s="773" t="s">
        <v>1787</v>
      </c>
      <c r="Y45" s="955">
        <v>293304</v>
      </c>
      <c r="Z45" s="591">
        <v>272744</v>
      </c>
      <c r="AA45" s="591">
        <v>99059</v>
      </c>
      <c r="AB45" s="591">
        <v>36139</v>
      </c>
      <c r="AC45" s="591">
        <v>314186</v>
      </c>
      <c r="AD45" s="591">
        <v>116664</v>
      </c>
      <c r="AE45" s="591">
        <v>3247</v>
      </c>
      <c r="AF45" s="591">
        <v>6804</v>
      </c>
      <c r="AG45" s="591">
        <v>25</v>
      </c>
      <c r="AH45" s="591">
        <v>7</v>
      </c>
      <c r="AI45" s="591">
        <v>0</v>
      </c>
      <c r="AJ45" s="591">
        <v>0</v>
      </c>
      <c r="AK45" s="591">
        <v>50946</v>
      </c>
      <c r="AL45" s="591">
        <v>28554</v>
      </c>
      <c r="AM45" s="591">
        <v>53914</v>
      </c>
      <c r="AN45" s="592">
        <v>566048</v>
      </c>
      <c r="AO45" s="587" t="s">
        <v>1669</v>
      </c>
      <c r="AP45" s="587" t="s">
        <v>1670</v>
      </c>
      <c r="AQ45" s="115" t="s">
        <v>1671</v>
      </c>
    </row>
    <row r="46" spans="1:43" ht="45.75">
      <c r="A46" s="115">
        <v>1</v>
      </c>
      <c r="B46" s="597" t="s">
        <v>513</v>
      </c>
      <c r="C46" s="584">
        <v>19</v>
      </c>
      <c r="D46" s="115" t="s">
        <v>1559</v>
      </c>
      <c r="E46" s="23">
        <v>1906</v>
      </c>
      <c r="F46" s="115" t="s">
        <v>1730</v>
      </c>
      <c r="G46" s="611">
        <v>1906044</v>
      </c>
      <c r="H46" s="456" t="s">
        <v>1781</v>
      </c>
      <c r="I46" s="585">
        <v>190604400</v>
      </c>
      <c r="J46" s="611" t="s">
        <v>1782</v>
      </c>
      <c r="K46" s="618">
        <v>274205</v>
      </c>
      <c r="L46" s="115"/>
      <c r="M46" s="115">
        <f t="shared" si="0"/>
        <v>274205</v>
      </c>
      <c r="N46" s="587" t="s">
        <v>1740</v>
      </c>
      <c r="O46" s="456" t="s">
        <v>1741</v>
      </c>
      <c r="P46" s="456" t="s">
        <v>1790</v>
      </c>
      <c r="Q46" s="615">
        <v>1277046622.8772156</v>
      </c>
      <c r="R46" s="589"/>
      <c r="S46" s="589"/>
      <c r="T46" s="589"/>
      <c r="U46" s="589">
        <f>+Q46-R46+S46-T46</f>
        <v>1277046622.8772156</v>
      </c>
      <c r="V46" s="590" t="s">
        <v>1791</v>
      </c>
      <c r="W46" s="954">
        <v>154</v>
      </c>
      <c r="X46" s="773" t="s">
        <v>1787</v>
      </c>
      <c r="Y46" s="955">
        <v>293304</v>
      </c>
      <c r="Z46" s="591">
        <v>272744</v>
      </c>
      <c r="AA46" s="591">
        <v>99059</v>
      </c>
      <c r="AB46" s="591">
        <v>36139</v>
      </c>
      <c r="AC46" s="591">
        <v>314186</v>
      </c>
      <c r="AD46" s="591">
        <v>116664</v>
      </c>
      <c r="AE46" s="591">
        <v>3247</v>
      </c>
      <c r="AF46" s="591">
        <v>6804</v>
      </c>
      <c r="AG46" s="591">
        <v>25</v>
      </c>
      <c r="AH46" s="591">
        <v>7</v>
      </c>
      <c r="AI46" s="591">
        <v>0</v>
      </c>
      <c r="AJ46" s="591">
        <v>0</v>
      </c>
      <c r="AK46" s="591">
        <v>50946</v>
      </c>
      <c r="AL46" s="591">
        <v>28554</v>
      </c>
      <c r="AM46" s="591">
        <v>53914</v>
      </c>
      <c r="AN46" s="592">
        <v>566048</v>
      </c>
      <c r="AO46" s="587" t="s">
        <v>1669</v>
      </c>
      <c r="AP46" s="587" t="s">
        <v>1670</v>
      </c>
      <c r="AQ46" s="115" t="s">
        <v>1671</v>
      </c>
    </row>
    <row r="47" spans="1:43" ht="45.75">
      <c r="A47" s="115">
        <v>1</v>
      </c>
      <c r="B47" s="597" t="s">
        <v>513</v>
      </c>
      <c r="C47" s="584">
        <v>19</v>
      </c>
      <c r="D47" s="115" t="s">
        <v>1559</v>
      </c>
      <c r="E47" s="23">
        <v>1906</v>
      </c>
      <c r="F47" s="115" t="s">
        <v>1730</v>
      </c>
      <c r="G47" s="611">
        <v>1906044</v>
      </c>
      <c r="H47" s="456" t="s">
        <v>1781</v>
      </c>
      <c r="I47" s="585">
        <v>190604400</v>
      </c>
      <c r="J47" s="611" t="s">
        <v>1782</v>
      </c>
      <c r="K47" s="618">
        <v>274205</v>
      </c>
      <c r="L47" s="115"/>
      <c r="M47" s="115">
        <f t="shared" si="0"/>
        <v>274205</v>
      </c>
      <c r="N47" s="587" t="s">
        <v>1740</v>
      </c>
      <c r="O47" s="456" t="s">
        <v>1741</v>
      </c>
      <c r="P47" s="456" t="s">
        <v>1792</v>
      </c>
      <c r="Q47" s="615">
        <v>535751392.98871768</v>
      </c>
      <c r="R47" s="589"/>
      <c r="S47" s="589"/>
      <c r="T47" s="589"/>
      <c r="U47" s="589">
        <f>+Q47-R47+S47-T47</f>
        <v>535751392.98871768</v>
      </c>
      <c r="V47" s="590" t="s">
        <v>1793</v>
      </c>
      <c r="W47" s="954">
        <v>154</v>
      </c>
      <c r="X47" s="773" t="s">
        <v>1787</v>
      </c>
      <c r="Y47" s="955">
        <v>293304</v>
      </c>
      <c r="Z47" s="591">
        <v>272744</v>
      </c>
      <c r="AA47" s="591">
        <v>99059</v>
      </c>
      <c r="AB47" s="591">
        <v>36139</v>
      </c>
      <c r="AC47" s="591">
        <v>314186</v>
      </c>
      <c r="AD47" s="591">
        <v>116664</v>
      </c>
      <c r="AE47" s="591">
        <v>3247</v>
      </c>
      <c r="AF47" s="591">
        <v>6804</v>
      </c>
      <c r="AG47" s="591">
        <v>25</v>
      </c>
      <c r="AH47" s="591">
        <v>7</v>
      </c>
      <c r="AI47" s="591">
        <v>0</v>
      </c>
      <c r="AJ47" s="591">
        <v>0</v>
      </c>
      <c r="AK47" s="591">
        <v>50946</v>
      </c>
      <c r="AL47" s="591">
        <v>28554</v>
      </c>
      <c r="AM47" s="591">
        <v>53914</v>
      </c>
      <c r="AN47" s="592">
        <v>566048</v>
      </c>
      <c r="AO47" s="587" t="s">
        <v>1669</v>
      </c>
      <c r="AP47" s="587" t="s">
        <v>1670</v>
      </c>
      <c r="AQ47" s="115" t="s">
        <v>1671</v>
      </c>
    </row>
    <row r="48" spans="1:43" ht="45.75">
      <c r="A48" s="115">
        <v>1</v>
      </c>
      <c r="B48" s="597" t="s">
        <v>513</v>
      </c>
      <c r="C48" s="584">
        <v>19</v>
      </c>
      <c r="D48" s="115" t="s">
        <v>1559</v>
      </c>
      <c r="E48" s="23">
        <v>1906</v>
      </c>
      <c r="F48" s="115" t="s">
        <v>1730</v>
      </c>
      <c r="G48" s="611">
        <v>1906044</v>
      </c>
      <c r="H48" s="456" t="s">
        <v>1781</v>
      </c>
      <c r="I48" s="585">
        <v>190604400</v>
      </c>
      <c r="J48" s="611" t="s">
        <v>1782</v>
      </c>
      <c r="K48" s="618">
        <v>274205</v>
      </c>
      <c r="L48" s="115"/>
      <c r="M48" s="115">
        <f t="shared" si="0"/>
        <v>274205</v>
      </c>
      <c r="N48" s="587" t="s">
        <v>1740</v>
      </c>
      <c r="O48" s="456" t="s">
        <v>1741</v>
      </c>
      <c r="P48" s="456" t="s">
        <v>1794</v>
      </c>
      <c r="Q48" s="615">
        <v>150702260.5088602</v>
      </c>
      <c r="R48" s="589"/>
      <c r="S48" s="589"/>
      <c r="T48" s="589"/>
      <c r="U48" s="589">
        <f>+Q48-R48+S48-T48</f>
        <v>150702260.5088602</v>
      </c>
      <c r="V48" s="590" t="s">
        <v>1795</v>
      </c>
      <c r="W48" s="954">
        <v>154</v>
      </c>
      <c r="X48" s="773" t="s">
        <v>1787</v>
      </c>
      <c r="Y48" s="955">
        <v>293304</v>
      </c>
      <c r="Z48" s="591">
        <v>272744</v>
      </c>
      <c r="AA48" s="591">
        <v>99059</v>
      </c>
      <c r="AB48" s="591">
        <v>36139</v>
      </c>
      <c r="AC48" s="591">
        <v>314186</v>
      </c>
      <c r="AD48" s="591">
        <v>116664</v>
      </c>
      <c r="AE48" s="591">
        <v>3247</v>
      </c>
      <c r="AF48" s="591">
        <v>6804</v>
      </c>
      <c r="AG48" s="591">
        <v>25</v>
      </c>
      <c r="AH48" s="591">
        <v>7</v>
      </c>
      <c r="AI48" s="591">
        <v>0</v>
      </c>
      <c r="AJ48" s="591">
        <v>0</v>
      </c>
      <c r="AK48" s="591">
        <v>50946</v>
      </c>
      <c r="AL48" s="591">
        <v>28554</v>
      </c>
      <c r="AM48" s="591">
        <v>53914</v>
      </c>
      <c r="AN48" s="592">
        <v>566048</v>
      </c>
      <c r="AO48" s="587" t="s">
        <v>1669</v>
      </c>
      <c r="AP48" s="587" t="s">
        <v>1670</v>
      </c>
      <c r="AQ48" s="115" t="s">
        <v>1671</v>
      </c>
    </row>
    <row r="49" spans="1:43" ht="45.75">
      <c r="A49" s="115">
        <v>1</v>
      </c>
      <c r="B49" s="597" t="s">
        <v>513</v>
      </c>
      <c r="C49" s="584">
        <v>19</v>
      </c>
      <c r="D49" s="115" t="s">
        <v>1559</v>
      </c>
      <c r="E49" s="23">
        <v>1906</v>
      </c>
      <c r="F49" s="115" t="s">
        <v>1730</v>
      </c>
      <c r="G49" s="611">
        <v>1906044</v>
      </c>
      <c r="H49" s="456" t="s">
        <v>1781</v>
      </c>
      <c r="I49" s="585">
        <v>190604400</v>
      </c>
      <c r="J49" s="611" t="s">
        <v>1782</v>
      </c>
      <c r="K49" s="618">
        <v>274205</v>
      </c>
      <c r="L49" s="115"/>
      <c r="M49" s="115">
        <f t="shared" si="0"/>
        <v>274205</v>
      </c>
      <c r="N49" s="587" t="s">
        <v>1740</v>
      </c>
      <c r="O49" s="456" t="s">
        <v>1741</v>
      </c>
      <c r="P49" s="456" t="s">
        <v>1796</v>
      </c>
      <c r="Q49" s="615">
        <v>279923658.45377243</v>
      </c>
      <c r="R49" s="589"/>
      <c r="S49" s="589"/>
      <c r="T49" s="589"/>
      <c r="U49" s="589">
        <f>+Q49-R49+S49-T49</f>
        <v>279923658.45377243</v>
      </c>
      <c r="V49" s="590" t="s">
        <v>1797</v>
      </c>
      <c r="W49" s="954">
        <v>154</v>
      </c>
      <c r="X49" s="773" t="s">
        <v>1787</v>
      </c>
      <c r="Y49" s="955">
        <v>293304</v>
      </c>
      <c r="Z49" s="591">
        <v>272744</v>
      </c>
      <c r="AA49" s="591">
        <v>99059</v>
      </c>
      <c r="AB49" s="591">
        <v>36139</v>
      </c>
      <c r="AC49" s="591">
        <v>314186</v>
      </c>
      <c r="AD49" s="591">
        <v>116664</v>
      </c>
      <c r="AE49" s="591">
        <v>3247</v>
      </c>
      <c r="AF49" s="591">
        <v>6804</v>
      </c>
      <c r="AG49" s="591">
        <v>25</v>
      </c>
      <c r="AH49" s="591">
        <v>7</v>
      </c>
      <c r="AI49" s="591">
        <v>0</v>
      </c>
      <c r="AJ49" s="591">
        <v>0</v>
      </c>
      <c r="AK49" s="591">
        <v>50946</v>
      </c>
      <c r="AL49" s="591">
        <v>28554</v>
      </c>
      <c r="AM49" s="591">
        <v>53914</v>
      </c>
      <c r="AN49" s="592">
        <v>566048</v>
      </c>
      <c r="AO49" s="587" t="s">
        <v>1669</v>
      </c>
      <c r="AP49" s="587" t="s">
        <v>1670</v>
      </c>
      <c r="AQ49" s="115" t="s">
        <v>1671</v>
      </c>
    </row>
    <row r="50" spans="1:43" ht="45.75">
      <c r="A50" s="115">
        <v>1</v>
      </c>
      <c r="B50" s="597" t="s">
        <v>513</v>
      </c>
      <c r="C50" s="584">
        <v>19</v>
      </c>
      <c r="D50" s="115" t="s">
        <v>1559</v>
      </c>
      <c r="E50" s="23">
        <v>1906</v>
      </c>
      <c r="F50" s="115" t="s">
        <v>1730</v>
      </c>
      <c r="G50" s="611">
        <v>1906044</v>
      </c>
      <c r="H50" s="456" t="s">
        <v>1781</v>
      </c>
      <c r="I50" s="585">
        <v>190604400</v>
      </c>
      <c r="J50" s="611" t="s">
        <v>1782</v>
      </c>
      <c r="K50" s="618">
        <v>274205</v>
      </c>
      <c r="L50" s="115"/>
      <c r="M50" s="115">
        <f t="shared" si="0"/>
        <v>274205</v>
      </c>
      <c r="N50" s="587" t="s">
        <v>1740</v>
      </c>
      <c r="O50" s="456" t="s">
        <v>1741</v>
      </c>
      <c r="P50" s="456" t="s">
        <v>1798</v>
      </c>
      <c r="Q50" s="615">
        <v>222653811.02905896</v>
      </c>
      <c r="R50" s="589"/>
      <c r="S50" s="589"/>
      <c r="T50" s="589"/>
      <c r="U50" s="589">
        <f>+Q50-R50+S50-T50</f>
        <v>222653811.02905896</v>
      </c>
      <c r="V50" s="590" t="s">
        <v>1799</v>
      </c>
      <c r="W50" s="954">
        <v>154</v>
      </c>
      <c r="X50" s="773" t="s">
        <v>1787</v>
      </c>
      <c r="Y50" s="955">
        <v>293304</v>
      </c>
      <c r="Z50" s="591">
        <v>272744</v>
      </c>
      <c r="AA50" s="591">
        <v>99059</v>
      </c>
      <c r="AB50" s="591">
        <v>36139</v>
      </c>
      <c r="AC50" s="591">
        <v>314186</v>
      </c>
      <c r="AD50" s="591">
        <v>116664</v>
      </c>
      <c r="AE50" s="591">
        <v>3247</v>
      </c>
      <c r="AF50" s="591">
        <v>6804</v>
      </c>
      <c r="AG50" s="591">
        <v>25</v>
      </c>
      <c r="AH50" s="591">
        <v>7</v>
      </c>
      <c r="AI50" s="591">
        <v>0</v>
      </c>
      <c r="AJ50" s="591">
        <v>0</v>
      </c>
      <c r="AK50" s="591">
        <v>50946</v>
      </c>
      <c r="AL50" s="591">
        <v>28554</v>
      </c>
      <c r="AM50" s="591">
        <v>53914</v>
      </c>
      <c r="AN50" s="592">
        <v>566048</v>
      </c>
      <c r="AO50" s="587" t="s">
        <v>1669</v>
      </c>
      <c r="AP50" s="587" t="s">
        <v>1670</v>
      </c>
      <c r="AQ50" s="115" t="s">
        <v>1671</v>
      </c>
    </row>
    <row r="51" spans="1:43" ht="45.75">
      <c r="A51" s="115">
        <v>1</v>
      </c>
      <c r="B51" s="597" t="s">
        <v>513</v>
      </c>
      <c r="C51" s="584">
        <v>19</v>
      </c>
      <c r="D51" s="115" t="s">
        <v>1559</v>
      </c>
      <c r="E51" s="23">
        <v>1906</v>
      </c>
      <c r="F51" s="115" t="s">
        <v>1730</v>
      </c>
      <c r="G51" s="611">
        <v>1906044</v>
      </c>
      <c r="H51" s="456" t="s">
        <v>1781</v>
      </c>
      <c r="I51" s="585">
        <v>190604400</v>
      </c>
      <c r="J51" s="611" t="s">
        <v>1782</v>
      </c>
      <c r="K51" s="618">
        <v>274205</v>
      </c>
      <c r="L51" s="115"/>
      <c r="M51" s="115">
        <f t="shared" si="0"/>
        <v>274205</v>
      </c>
      <c r="N51" s="587" t="s">
        <v>1740</v>
      </c>
      <c r="O51" s="456" t="s">
        <v>1741</v>
      </c>
      <c r="P51" s="456" t="s">
        <v>1800</v>
      </c>
      <c r="Q51" s="615">
        <v>832934457.75980294</v>
      </c>
      <c r="R51" s="589"/>
      <c r="S51" s="589"/>
      <c r="T51" s="589"/>
      <c r="U51" s="589">
        <f>+Q51-R51+S51-T51</f>
        <v>832934457.75980294</v>
      </c>
      <c r="V51" s="590" t="s">
        <v>1801</v>
      </c>
      <c r="W51" s="954">
        <v>154</v>
      </c>
      <c r="X51" s="773" t="s">
        <v>1787</v>
      </c>
      <c r="Y51" s="955">
        <v>293304</v>
      </c>
      <c r="Z51" s="591">
        <v>272744</v>
      </c>
      <c r="AA51" s="591">
        <v>99059</v>
      </c>
      <c r="AB51" s="591">
        <v>36139</v>
      </c>
      <c r="AC51" s="591">
        <v>314186</v>
      </c>
      <c r="AD51" s="591">
        <v>116664</v>
      </c>
      <c r="AE51" s="591">
        <v>3247</v>
      </c>
      <c r="AF51" s="591">
        <v>6804</v>
      </c>
      <c r="AG51" s="591">
        <v>25</v>
      </c>
      <c r="AH51" s="591">
        <v>7</v>
      </c>
      <c r="AI51" s="591">
        <v>0</v>
      </c>
      <c r="AJ51" s="591">
        <v>0</v>
      </c>
      <c r="AK51" s="591">
        <v>50946</v>
      </c>
      <c r="AL51" s="591">
        <v>28554</v>
      </c>
      <c r="AM51" s="591">
        <v>53914</v>
      </c>
      <c r="AN51" s="592">
        <v>566048</v>
      </c>
      <c r="AO51" s="587" t="s">
        <v>1669</v>
      </c>
      <c r="AP51" s="587" t="s">
        <v>1670</v>
      </c>
      <c r="AQ51" s="115" t="s">
        <v>1671</v>
      </c>
    </row>
    <row r="52" spans="1:43" ht="45.75">
      <c r="A52" s="115">
        <v>1</v>
      </c>
      <c r="B52" s="597" t="s">
        <v>513</v>
      </c>
      <c r="C52" s="584">
        <v>19</v>
      </c>
      <c r="D52" s="115" t="s">
        <v>1559</v>
      </c>
      <c r="E52" s="23">
        <v>1906</v>
      </c>
      <c r="F52" s="115" t="s">
        <v>1730</v>
      </c>
      <c r="G52" s="611">
        <v>1906044</v>
      </c>
      <c r="H52" s="456" t="s">
        <v>1781</v>
      </c>
      <c r="I52" s="585">
        <v>190604400</v>
      </c>
      <c r="J52" s="611" t="s">
        <v>1782</v>
      </c>
      <c r="K52" s="618">
        <v>274205</v>
      </c>
      <c r="L52" s="115"/>
      <c r="M52" s="115">
        <f t="shared" si="0"/>
        <v>274205</v>
      </c>
      <c r="N52" s="587" t="s">
        <v>1740</v>
      </c>
      <c r="O52" s="456" t="s">
        <v>1741</v>
      </c>
      <c r="P52" s="456" t="s">
        <v>1802</v>
      </c>
      <c r="Q52" s="615">
        <v>1020060789.66</v>
      </c>
      <c r="R52" s="589"/>
      <c r="S52" s="589"/>
      <c r="T52" s="589"/>
      <c r="U52" s="589">
        <f>+Q52-R52+S52-T52</f>
        <v>1020060789.66</v>
      </c>
      <c r="V52" s="590" t="s">
        <v>1803</v>
      </c>
      <c r="W52" s="954">
        <v>154</v>
      </c>
      <c r="X52" s="773" t="s">
        <v>1787</v>
      </c>
      <c r="Y52" s="955">
        <v>293304</v>
      </c>
      <c r="Z52" s="591">
        <v>272744</v>
      </c>
      <c r="AA52" s="591">
        <v>99059</v>
      </c>
      <c r="AB52" s="591">
        <v>36139</v>
      </c>
      <c r="AC52" s="591">
        <v>314186</v>
      </c>
      <c r="AD52" s="591">
        <v>116664</v>
      </c>
      <c r="AE52" s="591">
        <v>3247</v>
      </c>
      <c r="AF52" s="591">
        <v>6804</v>
      </c>
      <c r="AG52" s="591">
        <v>25</v>
      </c>
      <c r="AH52" s="591">
        <v>7</v>
      </c>
      <c r="AI52" s="591">
        <v>0</v>
      </c>
      <c r="AJ52" s="591">
        <v>0</v>
      </c>
      <c r="AK52" s="591">
        <v>50946</v>
      </c>
      <c r="AL52" s="591">
        <v>28554</v>
      </c>
      <c r="AM52" s="591">
        <v>53914</v>
      </c>
      <c r="AN52" s="592">
        <v>566048</v>
      </c>
      <c r="AO52" s="587" t="s">
        <v>1669</v>
      </c>
      <c r="AP52" s="587" t="s">
        <v>1670</v>
      </c>
      <c r="AQ52" s="115" t="s">
        <v>1671</v>
      </c>
    </row>
    <row r="53" spans="1:43" ht="45.75">
      <c r="A53" s="115">
        <v>1</v>
      </c>
      <c r="B53" s="597" t="s">
        <v>513</v>
      </c>
      <c r="C53" s="584">
        <v>19</v>
      </c>
      <c r="D53" s="115" t="s">
        <v>1559</v>
      </c>
      <c r="E53" s="23">
        <v>1906</v>
      </c>
      <c r="F53" s="115" t="s">
        <v>1730</v>
      </c>
      <c r="G53" s="611">
        <v>1906044</v>
      </c>
      <c r="H53" s="456" t="s">
        <v>1781</v>
      </c>
      <c r="I53" s="585">
        <v>190604400</v>
      </c>
      <c r="J53" s="611" t="s">
        <v>1782</v>
      </c>
      <c r="K53" s="618">
        <v>274205</v>
      </c>
      <c r="L53" s="115"/>
      <c r="M53" s="115">
        <f t="shared" si="0"/>
        <v>274205</v>
      </c>
      <c r="N53" s="587" t="s">
        <v>1740</v>
      </c>
      <c r="O53" s="456" t="s">
        <v>1741</v>
      </c>
      <c r="P53" s="456" t="s">
        <v>1804</v>
      </c>
      <c r="Q53" s="615">
        <v>149170581.50766864</v>
      </c>
      <c r="R53" s="589"/>
      <c r="S53" s="589"/>
      <c r="T53" s="589"/>
      <c r="U53" s="589">
        <f>+Q53-R53+S53-T53</f>
        <v>149170581.50766864</v>
      </c>
      <c r="V53" s="590" t="s">
        <v>1805</v>
      </c>
      <c r="W53" s="954">
        <v>154</v>
      </c>
      <c r="X53" s="773" t="s">
        <v>1787</v>
      </c>
      <c r="Y53" s="955">
        <v>293304</v>
      </c>
      <c r="Z53" s="591">
        <v>272744</v>
      </c>
      <c r="AA53" s="591">
        <v>99059</v>
      </c>
      <c r="AB53" s="591">
        <v>36139</v>
      </c>
      <c r="AC53" s="591">
        <v>314186</v>
      </c>
      <c r="AD53" s="591">
        <v>116664</v>
      </c>
      <c r="AE53" s="591">
        <v>3247</v>
      </c>
      <c r="AF53" s="591">
        <v>6804</v>
      </c>
      <c r="AG53" s="591">
        <v>25</v>
      </c>
      <c r="AH53" s="591">
        <v>7</v>
      </c>
      <c r="AI53" s="591">
        <v>0</v>
      </c>
      <c r="AJ53" s="591">
        <v>0</v>
      </c>
      <c r="AK53" s="591">
        <v>50946</v>
      </c>
      <c r="AL53" s="591">
        <v>28554</v>
      </c>
      <c r="AM53" s="591">
        <v>53914</v>
      </c>
      <c r="AN53" s="592">
        <v>566048</v>
      </c>
      <c r="AO53" s="587" t="s">
        <v>1669</v>
      </c>
      <c r="AP53" s="587" t="s">
        <v>1670</v>
      </c>
      <c r="AQ53" s="115" t="s">
        <v>1671</v>
      </c>
    </row>
    <row r="54" spans="1:43" ht="45.75">
      <c r="A54" s="115">
        <v>1</v>
      </c>
      <c r="B54" s="597" t="s">
        <v>513</v>
      </c>
      <c r="C54" s="584">
        <v>19</v>
      </c>
      <c r="D54" s="115" t="s">
        <v>1559</v>
      </c>
      <c r="E54" s="23">
        <v>1906</v>
      </c>
      <c r="F54" s="115" t="s">
        <v>1730</v>
      </c>
      <c r="G54" s="611">
        <v>1906044</v>
      </c>
      <c r="H54" s="456" t="s">
        <v>1781</v>
      </c>
      <c r="I54" s="585">
        <v>190604400</v>
      </c>
      <c r="J54" s="611" t="s">
        <v>1782</v>
      </c>
      <c r="K54" s="618">
        <v>274205</v>
      </c>
      <c r="L54" s="115"/>
      <c r="M54" s="115">
        <f t="shared" si="0"/>
        <v>274205</v>
      </c>
      <c r="N54" s="587" t="s">
        <v>1740</v>
      </c>
      <c r="O54" s="456" t="s">
        <v>1741</v>
      </c>
      <c r="P54" s="456" t="s">
        <v>1806</v>
      </c>
      <c r="Q54" s="615">
        <v>794455695.12149906</v>
      </c>
      <c r="R54" s="589"/>
      <c r="S54" s="589"/>
      <c r="T54" s="589"/>
      <c r="U54" s="589">
        <f>+Q54-R54+S54-T54</f>
        <v>794455695.12149906</v>
      </c>
      <c r="V54" s="590" t="s">
        <v>1807</v>
      </c>
      <c r="W54" s="954">
        <v>154</v>
      </c>
      <c r="X54" s="773" t="s">
        <v>1787</v>
      </c>
      <c r="Y54" s="955">
        <v>293304</v>
      </c>
      <c r="Z54" s="591">
        <v>272744</v>
      </c>
      <c r="AA54" s="591">
        <v>99059</v>
      </c>
      <c r="AB54" s="591">
        <v>36139</v>
      </c>
      <c r="AC54" s="591">
        <v>314186</v>
      </c>
      <c r="AD54" s="591">
        <v>116664</v>
      </c>
      <c r="AE54" s="591">
        <v>3247</v>
      </c>
      <c r="AF54" s="591">
        <v>6804</v>
      </c>
      <c r="AG54" s="591">
        <v>25</v>
      </c>
      <c r="AH54" s="591">
        <v>7</v>
      </c>
      <c r="AI54" s="591">
        <v>0</v>
      </c>
      <c r="AJ54" s="591">
        <v>0</v>
      </c>
      <c r="AK54" s="591">
        <v>50946</v>
      </c>
      <c r="AL54" s="591">
        <v>28554</v>
      </c>
      <c r="AM54" s="591">
        <v>53914</v>
      </c>
      <c r="AN54" s="592">
        <v>566048</v>
      </c>
      <c r="AO54" s="587" t="s">
        <v>1669</v>
      </c>
      <c r="AP54" s="587" t="s">
        <v>1670</v>
      </c>
      <c r="AQ54" s="115" t="s">
        <v>1671</v>
      </c>
    </row>
    <row r="55" spans="1:43" ht="45.75">
      <c r="A55" s="115">
        <v>1</v>
      </c>
      <c r="B55" s="597" t="s">
        <v>513</v>
      </c>
      <c r="C55" s="584">
        <v>19</v>
      </c>
      <c r="D55" s="115" t="s">
        <v>1559</v>
      </c>
      <c r="E55" s="23">
        <v>1906</v>
      </c>
      <c r="F55" s="115" t="s">
        <v>1730</v>
      </c>
      <c r="G55" s="611">
        <v>1906044</v>
      </c>
      <c r="H55" s="456" t="s">
        <v>1781</v>
      </c>
      <c r="I55" s="585">
        <v>190604400</v>
      </c>
      <c r="J55" s="611" t="s">
        <v>1782</v>
      </c>
      <c r="K55" s="618">
        <v>274205</v>
      </c>
      <c r="L55" s="115"/>
      <c r="M55" s="115">
        <f t="shared" si="0"/>
        <v>274205</v>
      </c>
      <c r="N55" s="587" t="s">
        <v>1740</v>
      </c>
      <c r="O55" s="456" t="s">
        <v>1741</v>
      </c>
      <c r="P55" s="456" t="s">
        <v>1808</v>
      </c>
      <c r="Q55" s="615">
        <v>132434187.80145684</v>
      </c>
      <c r="R55" s="589"/>
      <c r="S55" s="589"/>
      <c r="T55" s="589"/>
      <c r="U55" s="589">
        <f>+Q55-R55+S55-T55</f>
        <v>132434187.80145684</v>
      </c>
      <c r="V55" s="590" t="s">
        <v>1809</v>
      </c>
      <c r="W55" s="954">
        <v>154</v>
      </c>
      <c r="X55" s="773" t="s">
        <v>1787</v>
      </c>
      <c r="Y55" s="955">
        <v>293304</v>
      </c>
      <c r="Z55" s="591">
        <v>272744</v>
      </c>
      <c r="AA55" s="591">
        <v>99059</v>
      </c>
      <c r="AB55" s="591">
        <v>36139</v>
      </c>
      <c r="AC55" s="591">
        <v>314186</v>
      </c>
      <c r="AD55" s="591">
        <v>116664</v>
      </c>
      <c r="AE55" s="591">
        <v>3247</v>
      </c>
      <c r="AF55" s="591">
        <v>6804</v>
      </c>
      <c r="AG55" s="591">
        <v>25</v>
      </c>
      <c r="AH55" s="591">
        <v>7</v>
      </c>
      <c r="AI55" s="591">
        <v>0</v>
      </c>
      <c r="AJ55" s="591">
        <v>0</v>
      </c>
      <c r="AK55" s="591">
        <v>50946</v>
      </c>
      <c r="AL55" s="591">
        <v>28554</v>
      </c>
      <c r="AM55" s="591">
        <v>53914</v>
      </c>
      <c r="AN55" s="592">
        <v>566048</v>
      </c>
      <c r="AO55" s="587" t="s">
        <v>1669</v>
      </c>
      <c r="AP55" s="587" t="s">
        <v>1670</v>
      </c>
      <c r="AQ55" s="115" t="s">
        <v>1671</v>
      </c>
    </row>
    <row r="56" spans="1:43" ht="45.75">
      <c r="A56" s="115">
        <v>1</v>
      </c>
      <c r="B56" s="597" t="s">
        <v>513</v>
      </c>
      <c r="C56" s="584">
        <v>19</v>
      </c>
      <c r="D56" s="115" t="s">
        <v>1559</v>
      </c>
      <c r="E56" s="23">
        <v>1906</v>
      </c>
      <c r="F56" s="115" t="s">
        <v>1730</v>
      </c>
      <c r="G56" s="611">
        <v>1906044</v>
      </c>
      <c r="H56" s="456" t="s">
        <v>1781</v>
      </c>
      <c r="I56" s="585">
        <v>190604400</v>
      </c>
      <c r="J56" s="611" t="s">
        <v>1782</v>
      </c>
      <c r="K56" s="618">
        <v>274205</v>
      </c>
      <c r="L56" s="115"/>
      <c r="M56" s="115">
        <f t="shared" si="0"/>
        <v>274205</v>
      </c>
      <c r="N56" s="587" t="s">
        <v>1740</v>
      </c>
      <c r="O56" s="456" t="s">
        <v>1741</v>
      </c>
      <c r="P56" s="456" t="s">
        <v>1810</v>
      </c>
      <c r="Q56" s="615">
        <v>3806210719.6545267</v>
      </c>
      <c r="R56" s="589"/>
      <c r="S56" s="589"/>
      <c r="T56" s="589"/>
      <c r="U56" s="589">
        <f>+Q56-R56+S56-T56</f>
        <v>3806210719.6545267</v>
      </c>
      <c r="V56" s="590" t="s">
        <v>1811</v>
      </c>
      <c r="W56" s="954">
        <v>237</v>
      </c>
      <c r="X56" s="773" t="s">
        <v>1812</v>
      </c>
      <c r="Y56" s="955">
        <v>293304</v>
      </c>
      <c r="Z56" s="591">
        <v>272744</v>
      </c>
      <c r="AA56" s="591">
        <v>99059</v>
      </c>
      <c r="AB56" s="591">
        <v>36139</v>
      </c>
      <c r="AC56" s="591">
        <v>314186</v>
      </c>
      <c r="AD56" s="591">
        <v>116664</v>
      </c>
      <c r="AE56" s="591">
        <v>3247</v>
      </c>
      <c r="AF56" s="591">
        <v>6804</v>
      </c>
      <c r="AG56" s="591">
        <v>25</v>
      </c>
      <c r="AH56" s="591">
        <v>7</v>
      </c>
      <c r="AI56" s="591">
        <v>0</v>
      </c>
      <c r="AJ56" s="591">
        <v>0</v>
      </c>
      <c r="AK56" s="591">
        <v>50946</v>
      </c>
      <c r="AL56" s="591">
        <v>28554</v>
      </c>
      <c r="AM56" s="591">
        <v>53914</v>
      </c>
      <c r="AN56" s="592">
        <v>566048</v>
      </c>
      <c r="AO56" s="587" t="s">
        <v>1669</v>
      </c>
      <c r="AP56" s="587" t="s">
        <v>1670</v>
      </c>
      <c r="AQ56" s="115" t="s">
        <v>1671</v>
      </c>
    </row>
    <row r="57" spans="1:43" ht="45.75">
      <c r="A57" s="115">
        <v>1</v>
      </c>
      <c r="B57" s="597" t="s">
        <v>513</v>
      </c>
      <c r="C57" s="584">
        <v>19</v>
      </c>
      <c r="D57" s="115" t="s">
        <v>1559</v>
      </c>
      <c r="E57" s="23">
        <v>1906</v>
      </c>
      <c r="F57" s="115" t="s">
        <v>1730</v>
      </c>
      <c r="G57" s="611">
        <v>1906044</v>
      </c>
      <c r="H57" s="456" t="s">
        <v>1781</v>
      </c>
      <c r="I57" s="585">
        <v>190604400</v>
      </c>
      <c r="J57" s="611" t="s">
        <v>1782</v>
      </c>
      <c r="K57" s="618">
        <v>274205</v>
      </c>
      <c r="L57" s="115"/>
      <c r="M57" s="115">
        <f t="shared" si="0"/>
        <v>274205</v>
      </c>
      <c r="N57" s="587" t="s">
        <v>1740</v>
      </c>
      <c r="O57" s="456" t="s">
        <v>1741</v>
      </c>
      <c r="P57" s="456" t="s">
        <v>1813</v>
      </c>
      <c r="Q57" s="615">
        <v>53773229.221528769</v>
      </c>
      <c r="R57" s="589"/>
      <c r="S57" s="589"/>
      <c r="T57" s="589"/>
      <c r="U57" s="589">
        <f>+Q57-R57+S57-T57</f>
        <v>53773229.221528769</v>
      </c>
      <c r="V57" s="590" t="s">
        <v>1814</v>
      </c>
      <c r="W57" s="954">
        <v>237</v>
      </c>
      <c r="X57" s="773" t="s">
        <v>1812</v>
      </c>
      <c r="Y57" s="955">
        <v>293304</v>
      </c>
      <c r="Z57" s="591">
        <v>272744</v>
      </c>
      <c r="AA57" s="591">
        <v>99059</v>
      </c>
      <c r="AB57" s="591">
        <v>36139</v>
      </c>
      <c r="AC57" s="591">
        <v>314186</v>
      </c>
      <c r="AD57" s="591">
        <v>116664</v>
      </c>
      <c r="AE57" s="591">
        <v>3247</v>
      </c>
      <c r="AF57" s="591">
        <v>6804</v>
      </c>
      <c r="AG57" s="591">
        <v>25</v>
      </c>
      <c r="AH57" s="591">
        <v>7</v>
      </c>
      <c r="AI57" s="591">
        <v>0</v>
      </c>
      <c r="AJ57" s="591">
        <v>0</v>
      </c>
      <c r="AK57" s="591">
        <v>50946</v>
      </c>
      <c r="AL57" s="591">
        <v>28554</v>
      </c>
      <c r="AM57" s="591">
        <v>53914</v>
      </c>
      <c r="AN57" s="592">
        <v>566048</v>
      </c>
      <c r="AO57" s="587" t="s">
        <v>1669</v>
      </c>
      <c r="AP57" s="587" t="s">
        <v>1670</v>
      </c>
      <c r="AQ57" s="115" t="s">
        <v>1671</v>
      </c>
    </row>
    <row r="58" spans="1:43" ht="45.75">
      <c r="A58" s="115">
        <v>1</v>
      </c>
      <c r="B58" s="597" t="s">
        <v>513</v>
      </c>
      <c r="C58" s="584">
        <v>19</v>
      </c>
      <c r="D58" s="115" t="s">
        <v>1559</v>
      </c>
      <c r="E58" s="23">
        <v>1906</v>
      </c>
      <c r="F58" s="115" t="s">
        <v>1730</v>
      </c>
      <c r="G58" s="611">
        <v>1906044</v>
      </c>
      <c r="H58" s="456" t="s">
        <v>1781</v>
      </c>
      <c r="I58" s="585">
        <v>190604400</v>
      </c>
      <c r="J58" s="611" t="s">
        <v>1782</v>
      </c>
      <c r="K58" s="618">
        <v>274205</v>
      </c>
      <c r="L58" s="115"/>
      <c r="M58" s="115">
        <f t="shared" si="0"/>
        <v>274205</v>
      </c>
      <c r="N58" s="587" t="s">
        <v>1740</v>
      </c>
      <c r="O58" s="456" t="s">
        <v>1741</v>
      </c>
      <c r="P58" s="456" t="s">
        <v>1815</v>
      </c>
      <c r="Q58" s="615">
        <v>1003923576.1859528</v>
      </c>
      <c r="R58" s="589"/>
      <c r="S58" s="589"/>
      <c r="T58" s="589"/>
      <c r="U58" s="589">
        <f>+Q58-R58+S58-T58</f>
        <v>1003923576.1859528</v>
      </c>
      <c r="V58" s="590" t="s">
        <v>1816</v>
      </c>
      <c r="W58" s="954">
        <v>237</v>
      </c>
      <c r="X58" s="773" t="s">
        <v>1812</v>
      </c>
      <c r="Y58" s="955">
        <v>293304</v>
      </c>
      <c r="Z58" s="591">
        <v>272744</v>
      </c>
      <c r="AA58" s="591">
        <v>99059</v>
      </c>
      <c r="AB58" s="591">
        <v>36139</v>
      </c>
      <c r="AC58" s="591">
        <v>314186</v>
      </c>
      <c r="AD58" s="591">
        <v>116664</v>
      </c>
      <c r="AE58" s="591">
        <v>3247</v>
      </c>
      <c r="AF58" s="591">
        <v>6804</v>
      </c>
      <c r="AG58" s="591">
        <v>25</v>
      </c>
      <c r="AH58" s="591">
        <v>7</v>
      </c>
      <c r="AI58" s="591">
        <v>0</v>
      </c>
      <c r="AJ58" s="591">
        <v>0</v>
      </c>
      <c r="AK58" s="591">
        <v>50946</v>
      </c>
      <c r="AL58" s="591">
        <v>28554</v>
      </c>
      <c r="AM58" s="591">
        <v>53914</v>
      </c>
      <c r="AN58" s="592">
        <v>566048</v>
      </c>
      <c r="AO58" s="587" t="s">
        <v>1669</v>
      </c>
      <c r="AP58" s="587" t="s">
        <v>1670</v>
      </c>
      <c r="AQ58" s="115" t="s">
        <v>1671</v>
      </c>
    </row>
    <row r="59" spans="1:43" ht="45.75">
      <c r="A59" s="115">
        <v>1</v>
      </c>
      <c r="B59" s="597" t="s">
        <v>513</v>
      </c>
      <c r="C59" s="584">
        <v>19</v>
      </c>
      <c r="D59" s="115" t="s">
        <v>1559</v>
      </c>
      <c r="E59" s="23">
        <v>1906</v>
      </c>
      <c r="F59" s="115" t="s">
        <v>1730</v>
      </c>
      <c r="G59" s="611">
        <v>1906044</v>
      </c>
      <c r="H59" s="456" t="s">
        <v>1781</v>
      </c>
      <c r="I59" s="585">
        <v>190604400</v>
      </c>
      <c r="J59" s="611" t="s">
        <v>1782</v>
      </c>
      <c r="K59" s="618">
        <v>274205</v>
      </c>
      <c r="L59" s="115"/>
      <c r="M59" s="115">
        <f t="shared" si="0"/>
        <v>274205</v>
      </c>
      <c r="N59" s="587" t="s">
        <v>1740</v>
      </c>
      <c r="O59" s="456" t="s">
        <v>1741</v>
      </c>
      <c r="P59" s="456" t="s">
        <v>1817</v>
      </c>
      <c r="Q59" s="615">
        <v>421169787.17115873</v>
      </c>
      <c r="R59" s="589"/>
      <c r="S59" s="589"/>
      <c r="T59" s="589"/>
      <c r="U59" s="589">
        <f>+Q59-R59+S59-T59</f>
        <v>421169787.17115873</v>
      </c>
      <c r="V59" s="590" t="s">
        <v>1818</v>
      </c>
      <c r="W59" s="954">
        <v>237</v>
      </c>
      <c r="X59" s="773" t="s">
        <v>1812</v>
      </c>
      <c r="Y59" s="955">
        <v>293304</v>
      </c>
      <c r="Z59" s="591">
        <v>272744</v>
      </c>
      <c r="AA59" s="591">
        <v>99059</v>
      </c>
      <c r="AB59" s="591">
        <v>36139</v>
      </c>
      <c r="AC59" s="591">
        <v>314186</v>
      </c>
      <c r="AD59" s="591">
        <v>116664</v>
      </c>
      <c r="AE59" s="591">
        <v>3247</v>
      </c>
      <c r="AF59" s="591">
        <v>6804</v>
      </c>
      <c r="AG59" s="591">
        <v>25</v>
      </c>
      <c r="AH59" s="591">
        <v>7</v>
      </c>
      <c r="AI59" s="591">
        <v>0</v>
      </c>
      <c r="AJ59" s="591">
        <v>0</v>
      </c>
      <c r="AK59" s="591">
        <v>50946</v>
      </c>
      <c r="AL59" s="591">
        <v>28554</v>
      </c>
      <c r="AM59" s="591">
        <v>53914</v>
      </c>
      <c r="AN59" s="592">
        <v>566048</v>
      </c>
      <c r="AO59" s="587" t="s">
        <v>1669</v>
      </c>
      <c r="AP59" s="587" t="s">
        <v>1670</v>
      </c>
      <c r="AQ59" s="115" t="s">
        <v>1671</v>
      </c>
    </row>
    <row r="60" spans="1:43" ht="45.75">
      <c r="A60" s="115">
        <v>1</v>
      </c>
      <c r="B60" s="597" t="s">
        <v>513</v>
      </c>
      <c r="C60" s="584">
        <v>19</v>
      </c>
      <c r="D60" s="115" t="s">
        <v>1559</v>
      </c>
      <c r="E60" s="23">
        <v>1906</v>
      </c>
      <c r="F60" s="115" t="s">
        <v>1730</v>
      </c>
      <c r="G60" s="611">
        <v>1906044</v>
      </c>
      <c r="H60" s="456" t="s">
        <v>1781</v>
      </c>
      <c r="I60" s="585">
        <v>190604400</v>
      </c>
      <c r="J60" s="611" t="s">
        <v>1782</v>
      </c>
      <c r="K60" s="618">
        <v>274205</v>
      </c>
      <c r="L60" s="115"/>
      <c r="M60" s="115">
        <f t="shared" si="0"/>
        <v>274205</v>
      </c>
      <c r="N60" s="587" t="s">
        <v>1740</v>
      </c>
      <c r="O60" s="456" t="s">
        <v>1741</v>
      </c>
      <c r="P60" s="456" t="s">
        <v>1819</v>
      </c>
      <c r="Q60" s="615">
        <v>118471439.99958847</v>
      </c>
      <c r="R60" s="589"/>
      <c r="S60" s="589"/>
      <c r="T60" s="589"/>
      <c r="U60" s="589">
        <f>+Q60-R60+S60-T60</f>
        <v>118471439.99958847</v>
      </c>
      <c r="V60" s="590" t="s">
        <v>1820</v>
      </c>
      <c r="W60" s="954">
        <v>237</v>
      </c>
      <c r="X60" s="773" t="s">
        <v>1812</v>
      </c>
      <c r="Y60" s="955">
        <v>293304</v>
      </c>
      <c r="Z60" s="591">
        <v>272744</v>
      </c>
      <c r="AA60" s="591">
        <v>99059</v>
      </c>
      <c r="AB60" s="591">
        <v>36139</v>
      </c>
      <c r="AC60" s="591">
        <v>314186</v>
      </c>
      <c r="AD60" s="591">
        <v>116664</v>
      </c>
      <c r="AE60" s="591">
        <v>3247</v>
      </c>
      <c r="AF60" s="591">
        <v>6804</v>
      </c>
      <c r="AG60" s="591">
        <v>25</v>
      </c>
      <c r="AH60" s="591">
        <v>7</v>
      </c>
      <c r="AI60" s="591">
        <v>0</v>
      </c>
      <c r="AJ60" s="591">
        <v>0</v>
      </c>
      <c r="AK60" s="591">
        <v>50946</v>
      </c>
      <c r="AL60" s="591">
        <v>28554</v>
      </c>
      <c r="AM60" s="591">
        <v>53914</v>
      </c>
      <c r="AN60" s="592">
        <v>566048</v>
      </c>
      <c r="AO60" s="587" t="s">
        <v>1669</v>
      </c>
      <c r="AP60" s="587" t="s">
        <v>1670</v>
      </c>
      <c r="AQ60" s="115" t="s">
        <v>1671</v>
      </c>
    </row>
    <row r="61" spans="1:43" ht="45.75">
      <c r="A61" s="115">
        <v>1</v>
      </c>
      <c r="B61" s="597" t="s">
        <v>513</v>
      </c>
      <c r="C61" s="584">
        <v>19</v>
      </c>
      <c r="D61" s="115" t="s">
        <v>1559</v>
      </c>
      <c r="E61" s="23">
        <v>1906</v>
      </c>
      <c r="F61" s="115" t="s">
        <v>1730</v>
      </c>
      <c r="G61" s="611">
        <v>1906044</v>
      </c>
      <c r="H61" s="456" t="s">
        <v>1781</v>
      </c>
      <c r="I61" s="585">
        <v>190604400</v>
      </c>
      <c r="J61" s="611" t="s">
        <v>1782</v>
      </c>
      <c r="K61" s="618">
        <v>274205</v>
      </c>
      <c r="L61" s="115"/>
      <c r="M61" s="115">
        <f t="shared" si="0"/>
        <v>274205</v>
      </c>
      <c r="N61" s="587" t="s">
        <v>1740</v>
      </c>
      <c r="O61" s="456" t="s">
        <v>1741</v>
      </c>
      <c r="P61" s="456" t="s">
        <v>1821</v>
      </c>
      <c r="Q61" s="615">
        <v>220056147.78708497</v>
      </c>
      <c r="R61" s="589"/>
      <c r="S61" s="589"/>
      <c r="T61" s="589"/>
      <c r="U61" s="589">
        <f>+Q61-R61+S61-T61</f>
        <v>220056147.78708497</v>
      </c>
      <c r="V61" s="590" t="s">
        <v>1822</v>
      </c>
      <c r="W61" s="954">
        <v>237</v>
      </c>
      <c r="X61" s="773" t="s">
        <v>1812</v>
      </c>
      <c r="Y61" s="955">
        <v>293304</v>
      </c>
      <c r="Z61" s="591">
        <v>272744</v>
      </c>
      <c r="AA61" s="591">
        <v>99059</v>
      </c>
      <c r="AB61" s="591">
        <v>36139</v>
      </c>
      <c r="AC61" s="591">
        <v>314186</v>
      </c>
      <c r="AD61" s="591">
        <v>116664</v>
      </c>
      <c r="AE61" s="591">
        <v>3247</v>
      </c>
      <c r="AF61" s="591">
        <v>6804</v>
      </c>
      <c r="AG61" s="591">
        <v>25</v>
      </c>
      <c r="AH61" s="591">
        <v>7</v>
      </c>
      <c r="AI61" s="591">
        <v>0</v>
      </c>
      <c r="AJ61" s="591">
        <v>0</v>
      </c>
      <c r="AK61" s="591">
        <v>50946</v>
      </c>
      <c r="AL61" s="591">
        <v>28554</v>
      </c>
      <c r="AM61" s="591">
        <v>53914</v>
      </c>
      <c r="AN61" s="592">
        <v>566048</v>
      </c>
      <c r="AO61" s="587" t="s">
        <v>1669</v>
      </c>
      <c r="AP61" s="587" t="s">
        <v>1670</v>
      </c>
      <c r="AQ61" s="115" t="s">
        <v>1671</v>
      </c>
    </row>
    <row r="62" spans="1:43" ht="45.75">
      <c r="A62" s="115">
        <v>1</v>
      </c>
      <c r="B62" s="597" t="s">
        <v>513</v>
      </c>
      <c r="C62" s="584">
        <v>19</v>
      </c>
      <c r="D62" s="115" t="s">
        <v>1559</v>
      </c>
      <c r="E62" s="23">
        <v>1906</v>
      </c>
      <c r="F62" s="115" t="s">
        <v>1730</v>
      </c>
      <c r="G62" s="611">
        <v>1906044</v>
      </c>
      <c r="H62" s="456" t="s">
        <v>1781</v>
      </c>
      <c r="I62" s="585">
        <v>190604400</v>
      </c>
      <c r="J62" s="611" t="s">
        <v>1782</v>
      </c>
      <c r="K62" s="618">
        <v>274205</v>
      </c>
      <c r="L62" s="115"/>
      <c r="M62" s="115">
        <f t="shared" si="0"/>
        <v>274205</v>
      </c>
      <c r="N62" s="587" t="s">
        <v>1740</v>
      </c>
      <c r="O62" s="456" t="s">
        <v>1741</v>
      </c>
      <c r="P62" s="456" t="s">
        <v>1823</v>
      </c>
      <c r="Q62" s="615">
        <v>175034651.12752727</v>
      </c>
      <c r="R62" s="589"/>
      <c r="S62" s="589"/>
      <c r="T62" s="589"/>
      <c r="U62" s="589">
        <f>+Q62-R62+S62-T62</f>
        <v>175034651.12752727</v>
      </c>
      <c r="V62" s="590" t="s">
        <v>1824</v>
      </c>
      <c r="W62" s="954">
        <v>237</v>
      </c>
      <c r="X62" s="773" t="s">
        <v>1812</v>
      </c>
      <c r="Y62" s="955">
        <v>293304</v>
      </c>
      <c r="Z62" s="591">
        <v>272744</v>
      </c>
      <c r="AA62" s="591">
        <v>99059</v>
      </c>
      <c r="AB62" s="591">
        <v>36139</v>
      </c>
      <c r="AC62" s="591">
        <v>314186</v>
      </c>
      <c r="AD62" s="591">
        <v>116664</v>
      </c>
      <c r="AE62" s="591">
        <v>3247</v>
      </c>
      <c r="AF62" s="591">
        <v>6804</v>
      </c>
      <c r="AG62" s="591">
        <v>25</v>
      </c>
      <c r="AH62" s="591">
        <v>7</v>
      </c>
      <c r="AI62" s="591">
        <v>0</v>
      </c>
      <c r="AJ62" s="591">
        <v>0</v>
      </c>
      <c r="AK62" s="591">
        <v>50946</v>
      </c>
      <c r="AL62" s="591">
        <v>28554</v>
      </c>
      <c r="AM62" s="591">
        <v>53914</v>
      </c>
      <c r="AN62" s="592">
        <v>566048</v>
      </c>
      <c r="AO62" s="587" t="s">
        <v>1669</v>
      </c>
      <c r="AP62" s="587" t="s">
        <v>1670</v>
      </c>
      <c r="AQ62" s="115" t="s">
        <v>1671</v>
      </c>
    </row>
    <row r="63" spans="1:43" ht="45.75">
      <c r="A63" s="115">
        <v>1</v>
      </c>
      <c r="B63" s="597" t="s">
        <v>513</v>
      </c>
      <c r="C63" s="584">
        <v>19</v>
      </c>
      <c r="D63" s="115" t="s">
        <v>1559</v>
      </c>
      <c r="E63" s="23">
        <v>1906</v>
      </c>
      <c r="F63" s="115" t="s">
        <v>1730</v>
      </c>
      <c r="G63" s="611">
        <v>1906044</v>
      </c>
      <c r="H63" s="456" t="s">
        <v>1781</v>
      </c>
      <c r="I63" s="585">
        <v>190604400</v>
      </c>
      <c r="J63" s="611" t="s">
        <v>1782</v>
      </c>
      <c r="K63" s="618">
        <v>274205</v>
      </c>
      <c r="L63" s="115"/>
      <c r="M63" s="115">
        <f t="shared" si="0"/>
        <v>274205</v>
      </c>
      <c r="N63" s="587" t="s">
        <v>1740</v>
      </c>
      <c r="O63" s="456" t="s">
        <v>1741</v>
      </c>
      <c r="P63" s="456" t="s">
        <v>1825</v>
      </c>
      <c r="Q63" s="615">
        <v>654794057.3536458</v>
      </c>
      <c r="R63" s="589"/>
      <c r="S63" s="589"/>
      <c r="T63" s="589"/>
      <c r="U63" s="589">
        <f>+Q63-R63+S63-T63</f>
        <v>654794057.3536458</v>
      </c>
      <c r="V63" s="590" t="s">
        <v>1826</v>
      </c>
      <c r="W63" s="954">
        <v>237</v>
      </c>
      <c r="X63" s="773" t="s">
        <v>1812</v>
      </c>
      <c r="Y63" s="955">
        <v>293304</v>
      </c>
      <c r="Z63" s="591">
        <v>272744</v>
      </c>
      <c r="AA63" s="591">
        <v>99059</v>
      </c>
      <c r="AB63" s="591">
        <v>36139</v>
      </c>
      <c r="AC63" s="591">
        <v>314186</v>
      </c>
      <c r="AD63" s="591">
        <v>116664</v>
      </c>
      <c r="AE63" s="591">
        <v>3247</v>
      </c>
      <c r="AF63" s="591">
        <v>6804</v>
      </c>
      <c r="AG63" s="591">
        <v>25</v>
      </c>
      <c r="AH63" s="591">
        <v>7</v>
      </c>
      <c r="AI63" s="591">
        <v>0</v>
      </c>
      <c r="AJ63" s="591">
        <v>0</v>
      </c>
      <c r="AK63" s="591">
        <v>50946</v>
      </c>
      <c r="AL63" s="591">
        <v>28554</v>
      </c>
      <c r="AM63" s="591">
        <v>53914</v>
      </c>
      <c r="AN63" s="592">
        <v>566048</v>
      </c>
      <c r="AO63" s="587" t="s">
        <v>1669</v>
      </c>
      <c r="AP63" s="587" t="s">
        <v>1670</v>
      </c>
      <c r="AQ63" s="115" t="s">
        <v>1671</v>
      </c>
    </row>
    <row r="64" spans="1:43" ht="45.75">
      <c r="A64" s="115">
        <v>1</v>
      </c>
      <c r="B64" s="597" t="s">
        <v>513</v>
      </c>
      <c r="C64" s="584">
        <v>19</v>
      </c>
      <c r="D64" s="115" t="s">
        <v>1559</v>
      </c>
      <c r="E64" s="23">
        <v>1906</v>
      </c>
      <c r="F64" s="115" t="s">
        <v>1730</v>
      </c>
      <c r="G64" s="611">
        <v>1906044</v>
      </c>
      <c r="H64" s="456" t="s">
        <v>1781</v>
      </c>
      <c r="I64" s="585">
        <v>190604400</v>
      </c>
      <c r="J64" s="611" t="s">
        <v>1782</v>
      </c>
      <c r="K64" s="618">
        <v>274205</v>
      </c>
      <c r="L64" s="115"/>
      <c r="M64" s="115">
        <f t="shared" si="0"/>
        <v>274205</v>
      </c>
      <c r="N64" s="587" t="s">
        <v>1740</v>
      </c>
      <c r="O64" s="456" t="s">
        <v>1741</v>
      </c>
      <c r="P64" s="456" t="s">
        <v>1827</v>
      </c>
      <c r="Q64" s="615">
        <v>801899521.58702564</v>
      </c>
      <c r="R64" s="589"/>
      <c r="S64" s="589"/>
      <c r="T64" s="589"/>
      <c r="U64" s="589">
        <f>+Q64-R64+S64-T64</f>
        <v>801899521.58702564</v>
      </c>
      <c r="V64" s="590" t="s">
        <v>1828</v>
      </c>
      <c r="W64" s="954">
        <v>237</v>
      </c>
      <c r="X64" s="773" t="s">
        <v>1812</v>
      </c>
      <c r="Y64" s="955">
        <v>293304</v>
      </c>
      <c r="Z64" s="591">
        <v>272744</v>
      </c>
      <c r="AA64" s="591">
        <v>99059</v>
      </c>
      <c r="AB64" s="591">
        <v>36139</v>
      </c>
      <c r="AC64" s="591">
        <v>314186</v>
      </c>
      <c r="AD64" s="591">
        <v>116664</v>
      </c>
      <c r="AE64" s="591">
        <v>3247</v>
      </c>
      <c r="AF64" s="591">
        <v>6804</v>
      </c>
      <c r="AG64" s="591">
        <v>25</v>
      </c>
      <c r="AH64" s="591">
        <v>7</v>
      </c>
      <c r="AI64" s="591">
        <v>0</v>
      </c>
      <c r="AJ64" s="591">
        <v>0</v>
      </c>
      <c r="AK64" s="591">
        <v>50946</v>
      </c>
      <c r="AL64" s="591">
        <v>28554</v>
      </c>
      <c r="AM64" s="591">
        <v>53914</v>
      </c>
      <c r="AN64" s="592">
        <v>566048</v>
      </c>
      <c r="AO64" s="587" t="s">
        <v>1669</v>
      </c>
      <c r="AP64" s="587" t="s">
        <v>1670</v>
      </c>
      <c r="AQ64" s="115" t="s">
        <v>1671</v>
      </c>
    </row>
    <row r="65" spans="1:43" ht="45.75">
      <c r="A65" s="115">
        <v>1</v>
      </c>
      <c r="B65" s="597" t="s">
        <v>513</v>
      </c>
      <c r="C65" s="584">
        <v>19</v>
      </c>
      <c r="D65" s="115" t="s">
        <v>1559</v>
      </c>
      <c r="E65" s="23">
        <v>1906</v>
      </c>
      <c r="F65" s="115" t="s">
        <v>1730</v>
      </c>
      <c r="G65" s="611">
        <v>1906044</v>
      </c>
      <c r="H65" s="456" t="s">
        <v>1781</v>
      </c>
      <c r="I65" s="585">
        <v>190604400</v>
      </c>
      <c r="J65" s="611" t="s">
        <v>1782</v>
      </c>
      <c r="K65" s="618">
        <v>274205</v>
      </c>
      <c r="L65" s="115"/>
      <c r="M65" s="115">
        <f t="shared" si="0"/>
        <v>274205</v>
      </c>
      <c r="N65" s="587" t="s">
        <v>1740</v>
      </c>
      <c r="O65" s="456" t="s">
        <v>1741</v>
      </c>
      <c r="P65" s="456" t="s">
        <v>1829</v>
      </c>
      <c r="Q65" s="615">
        <v>117267342.62169866</v>
      </c>
      <c r="R65" s="589"/>
      <c r="S65" s="589"/>
      <c r="T65" s="589"/>
      <c r="U65" s="589">
        <f>+Q65-R65+S65-T65</f>
        <v>117267342.62169866</v>
      </c>
      <c r="V65" s="590" t="s">
        <v>1830</v>
      </c>
      <c r="W65" s="954">
        <v>237</v>
      </c>
      <c r="X65" s="773" t="s">
        <v>1812</v>
      </c>
      <c r="Y65" s="955">
        <v>293304</v>
      </c>
      <c r="Z65" s="591">
        <v>272744</v>
      </c>
      <c r="AA65" s="591">
        <v>99059</v>
      </c>
      <c r="AB65" s="591">
        <v>36139</v>
      </c>
      <c r="AC65" s="591">
        <v>314186</v>
      </c>
      <c r="AD65" s="591">
        <v>116664</v>
      </c>
      <c r="AE65" s="591">
        <v>3247</v>
      </c>
      <c r="AF65" s="591">
        <v>6804</v>
      </c>
      <c r="AG65" s="591">
        <v>25</v>
      </c>
      <c r="AH65" s="591">
        <v>7</v>
      </c>
      <c r="AI65" s="591">
        <v>0</v>
      </c>
      <c r="AJ65" s="591">
        <v>0</v>
      </c>
      <c r="AK65" s="591">
        <v>50946</v>
      </c>
      <c r="AL65" s="591">
        <v>28554</v>
      </c>
      <c r="AM65" s="591">
        <v>53914</v>
      </c>
      <c r="AN65" s="592">
        <v>566048</v>
      </c>
      <c r="AO65" s="587" t="s">
        <v>1669</v>
      </c>
      <c r="AP65" s="587" t="s">
        <v>1670</v>
      </c>
      <c r="AQ65" s="115" t="s">
        <v>1671</v>
      </c>
    </row>
    <row r="66" spans="1:43" ht="45.75">
      <c r="A66" s="115">
        <v>1</v>
      </c>
      <c r="B66" s="597" t="s">
        <v>513</v>
      </c>
      <c r="C66" s="584">
        <v>19</v>
      </c>
      <c r="D66" s="115" t="s">
        <v>1559</v>
      </c>
      <c r="E66" s="23">
        <v>1906</v>
      </c>
      <c r="F66" s="115" t="s">
        <v>1730</v>
      </c>
      <c r="G66" s="611">
        <v>1906044</v>
      </c>
      <c r="H66" s="456" t="s">
        <v>1781</v>
      </c>
      <c r="I66" s="585">
        <v>190604400</v>
      </c>
      <c r="J66" s="611" t="s">
        <v>1782</v>
      </c>
      <c r="K66" s="618">
        <v>274205</v>
      </c>
      <c r="L66" s="115"/>
      <c r="M66" s="115">
        <f t="shared" si="0"/>
        <v>274205</v>
      </c>
      <c r="N66" s="587" t="s">
        <v>1740</v>
      </c>
      <c r="O66" s="456" t="s">
        <v>1741</v>
      </c>
      <c r="P66" s="456" t="s">
        <v>1831</v>
      </c>
      <c r="Q66" s="615">
        <v>624544780.36943626</v>
      </c>
      <c r="R66" s="589"/>
      <c r="S66" s="589"/>
      <c r="T66" s="589"/>
      <c r="U66" s="589">
        <f>+Q66-R66+S66-T66</f>
        <v>624544780.36943626</v>
      </c>
      <c r="V66" s="590" t="s">
        <v>1832</v>
      </c>
      <c r="W66" s="954">
        <v>237</v>
      </c>
      <c r="X66" s="773" t="s">
        <v>1812</v>
      </c>
      <c r="Y66" s="955">
        <v>293304</v>
      </c>
      <c r="Z66" s="591">
        <v>272744</v>
      </c>
      <c r="AA66" s="591">
        <v>99059</v>
      </c>
      <c r="AB66" s="591">
        <v>36139</v>
      </c>
      <c r="AC66" s="591">
        <v>314186</v>
      </c>
      <c r="AD66" s="591">
        <v>116664</v>
      </c>
      <c r="AE66" s="591">
        <v>3247</v>
      </c>
      <c r="AF66" s="591">
        <v>6804</v>
      </c>
      <c r="AG66" s="591">
        <v>25</v>
      </c>
      <c r="AH66" s="591">
        <v>7</v>
      </c>
      <c r="AI66" s="591">
        <v>0</v>
      </c>
      <c r="AJ66" s="591">
        <v>0</v>
      </c>
      <c r="AK66" s="591">
        <v>50946</v>
      </c>
      <c r="AL66" s="591">
        <v>28554</v>
      </c>
      <c r="AM66" s="591">
        <v>53914</v>
      </c>
      <c r="AN66" s="592">
        <v>566048</v>
      </c>
      <c r="AO66" s="587" t="s">
        <v>1669</v>
      </c>
      <c r="AP66" s="587" t="s">
        <v>1670</v>
      </c>
      <c r="AQ66" s="115" t="s">
        <v>1671</v>
      </c>
    </row>
    <row r="67" spans="1:43" ht="45.75">
      <c r="A67" s="115">
        <v>1</v>
      </c>
      <c r="B67" s="597" t="s">
        <v>513</v>
      </c>
      <c r="C67" s="584">
        <v>19</v>
      </c>
      <c r="D67" s="115" t="s">
        <v>1559</v>
      </c>
      <c r="E67" s="23">
        <v>1906</v>
      </c>
      <c r="F67" s="115" t="s">
        <v>1730</v>
      </c>
      <c r="G67" s="611">
        <v>1906044</v>
      </c>
      <c r="H67" s="456" t="s">
        <v>1781</v>
      </c>
      <c r="I67" s="585">
        <v>190604400</v>
      </c>
      <c r="J67" s="611" t="s">
        <v>1782</v>
      </c>
      <c r="K67" s="618">
        <v>274205</v>
      </c>
      <c r="L67" s="115"/>
      <c r="M67" s="115">
        <f t="shared" si="0"/>
        <v>274205</v>
      </c>
      <c r="N67" s="587" t="s">
        <v>1740</v>
      </c>
      <c r="O67" s="456" t="s">
        <v>1741</v>
      </c>
      <c r="P67" s="456" t="s">
        <v>1833</v>
      </c>
      <c r="Q67" s="615">
        <v>104110375.57082623</v>
      </c>
      <c r="R67" s="589"/>
      <c r="S67" s="589"/>
      <c r="T67" s="589"/>
      <c r="U67" s="589">
        <f>+Q67-R67+S67-T67</f>
        <v>104110375.57082623</v>
      </c>
      <c r="V67" s="590" t="s">
        <v>1834</v>
      </c>
      <c r="W67" s="954">
        <v>237</v>
      </c>
      <c r="X67" s="773" t="s">
        <v>1812</v>
      </c>
      <c r="Y67" s="955">
        <v>293304</v>
      </c>
      <c r="Z67" s="591">
        <v>272744</v>
      </c>
      <c r="AA67" s="591">
        <v>99059</v>
      </c>
      <c r="AB67" s="591">
        <v>36139</v>
      </c>
      <c r="AC67" s="591">
        <v>314186</v>
      </c>
      <c r="AD67" s="591">
        <v>116664</v>
      </c>
      <c r="AE67" s="591">
        <v>3247</v>
      </c>
      <c r="AF67" s="591">
        <v>6804</v>
      </c>
      <c r="AG67" s="591">
        <v>25</v>
      </c>
      <c r="AH67" s="591">
        <v>7</v>
      </c>
      <c r="AI67" s="591">
        <v>0</v>
      </c>
      <c r="AJ67" s="591">
        <v>0</v>
      </c>
      <c r="AK67" s="591">
        <v>50946</v>
      </c>
      <c r="AL67" s="591">
        <v>28554</v>
      </c>
      <c r="AM67" s="591">
        <v>53914</v>
      </c>
      <c r="AN67" s="592">
        <v>566048</v>
      </c>
      <c r="AO67" s="587" t="s">
        <v>1669</v>
      </c>
      <c r="AP67" s="587" t="s">
        <v>1670</v>
      </c>
      <c r="AQ67" s="115" t="s">
        <v>1671</v>
      </c>
    </row>
    <row r="68" spans="1:43" ht="45.75">
      <c r="A68" s="115">
        <v>1</v>
      </c>
      <c r="B68" s="597" t="s">
        <v>513</v>
      </c>
      <c r="C68" s="584">
        <v>19</v>
      </c>
      <c r="D68" s="115" t="s">
        <v>1559</v>
      </c>
      <c r="E68" s="23">
        <v>1906</v>
      </c>
      <c r="F68" s="115" t="s">
        <v>1730</v>
      </c>
      <c r="G68" s="611">
        <v>1906044</v>
      </c>
      <c r="H68" s="456" t="s">
        <v>1781</v>
      </c>
      <c r="I68" s="585">
        <v>190604400</v>
      </c>
      <c r="J68" s="611" t="s">
        <v>1782</v>
      </c>
      <c r="K68" s="618">
        <v>274205</v>
      </c>
      <c r="L68" s="115"/>
      <c r="M68" s="115">
        <f t="shared" si="0"/>
        <v>274205</v>
      </c>
      <c r="N68" s="587" t="s">
        <v>1740</v>
      </c>
      <c r="O68" s="456" t="s">
        <v>1741</v>
      </c>
      <c r="P68" s="456" t="s">
        <v>1835</v>
      </c>
      <c r="Q68" s="615">
        <v>549460618.27507555</v>
      </c>
      <c r="R68" s="589"/>
      <c r="S68" s="589"/>
      <c r="T68" s="589"/>
      <c r="U68" s="589">
        <f>+Q68-R68+S68-T68</f>
        <v>549460618.27507555</v>
      </c>
      <c r="V68" s="590" t="s">
        <v>1836</v>
      </c>
      <c r="W68" s="954">
        <v>240</v>
      </c>
      <c r="X68" s="773" t="s">
        <v>1837</v>
      </c>
      <c r="Y68" s="955">
        <v>293304</v>
      </c>
      <c r="Z68" s="591">
        <v>272744</v>
      </c>
      <c r="AA68" s="591">
        <v>99059</v>
      </c>
      <c r="AB68" s="591">
        <v>36139</v>
      </c>
      <c r="AC68" s="591">
        <v>314186</v>
      </c>
      <c r="AD68" s="591">
        <v>116664</v>
      </c>
      <c r="AE68" s="591">
        <v>3247</v>
      </c>
      <c r="AF68" s="591">
        <v>6804</v>
      </c>
      <c r="AG68" s="591">
        <v>25</v>
      </c>
      <c r="AH68" s="591">
        <v>7</v>
      </c>
      <c r="AI68" s="591">
        <v>0</v>
      </c>
      <c r="AJ68" s="591">
        <v>0</v>
      </c>
      <c r="AK68" s="591">
        <v>50946</v>
      </c>
      <c r="AL68" s="591">
        <v>28554</v>
      </c>
      <c r="AM68" s="591">
        <v>53914</v>
      </c>
      <c r="AN68" s="592">
        <v>566048</v>
      </c>
      <c r="AO68" s="587" t="s">
        <v>1669</v>
      </c>
      <c r="AP68" s="587" t="s">
        <v>1670</v>
      </c>
      <c r="AQ68" s="115" t="s">
        <v>1671</v>
      </c>
    </row>
    <row r="69" spans="1:43" ht="45.75">
      <c r="A69" s="115">
        <v>1</v>
      </c>
      <c r="B69" s="597" t="s">
        <v>513</v>
      </c>
      <c r="C69" s="584">
        <v>19</v>
      </c>
      <c r="D69" s="115" t="s">
        <v>1559</v>
      </c>
      <c r="E69" s="23">
        <v>1906</v>
      </c>
      <c r="F69" s="115" t="s">
        <v>1730</v>
      </c>
      <c r="G69" s="611">
        <v>1906044</v>
      </c>
      <c r="H69" s="456" t="s">
        <v>1781</v>
      </c>
      <c r="I69" s="585">
        <v>190604400</v>
      </c>
      <c r="J69" s="611" t="s">
        <v>1782</v>
      </c>
      <c r="K69" s="618">
        <v>274205</v>
      </c>
      <c r="L69" s="115"/>
      <c r="M69" s="115">
        <f t="shared" si="0"/>
        <v>274205</v>
      </c>
      <c r="N69" s="587" t="s">
        <v>1740</v>
      </c>
      <c r="O69" s="456" t="s">
        <v>1741</v>
      </c>
      <c r="P69" s="456" t="s">
        <v>1838</v>
      </c>
      <c r="Q69" s="615">
        <v>7730807.9914374473</v>
      </c>
      <c r="R69" s="589"/>
      <c r="S69" s="589"/>
      <c r="T69" s="589"/>
      <c r="U69" s="589">
        <f>+Q69-R69+S69-T69</f>
        <v>7730807.9914374473</v>
      </c>
      <c r="V69" s="590" t="s">
        <v>1839</v>
      </c>
      <c r="W69" s="954">
        <v>240</v>
      </c>
      <c r="X69" s="773" t="s">
        <v>1837</v>
      </c>
      <c r="Y69" s="955">
        <v>293304</v>
      </c>
      <c r="Z69" s="591">
        <v>272744</v>
      </c>
      <c r="AA69" s="591">
        <v>99059</v>
      </c>
      <c r="AB69" s="591">
        <v>36139</v>
      </c>
      <c r="AC69" s="591">
        <v>314186</v>
      </c>
      <c r="AD69" s="591">
        <v>116664</v>
      </c>
      <c r="AE69" s="591">
        <v>3247</v>
      </c>
      <c r="AF69" s="591">
        <v>6804</v>
      </c>
      <c r="AG69" s="591">
        <v>25</v>
      </c>
      <c r="AH69" s="591">
        <v>7</v>
      </c>
      <c r="AI69" s="591">
        <v>0</v>
      </c>
      <c r="AJ69" s="591">
        <v>0</v>
      </c>
      <c r="AK69" s="591">
        <v>50946</v>
      </c>
      <c r="AL69" s="591">
        <v>28554</v>
      </c>
      <c r="AM69" s="591">
        <v>53914</v>
      </c>
      <c r="AN69" s="592">
        <v>566048</v>
      </c>
      <c r="AO69" s="587" t="s">
        <v>1669</v>
      </c>
      <c r="AP69" s="587" t="s">
        <v>1670</v>
      </c>
      <c r="AQ69" s="115" t="s">
        <v>1671</v>
      </c>
    </row>
    <row r="70" spans="1:43" ht="45.75">
      <c r="A70" s="115">
        <v>1</v>
      </c>
      <c r="B70" s="597" t="s">
        <v>513</v>
      </c>
      <c r="C70" s="584">
        <v>19</v>
      </c>
      <c r="D70" s="115" t="s">
        <v>1559</v>
      </c>
      <c r="E70" s="23">
        <v>1906</v>
      </c>
      <c r="F70" s="115" t="s">
        <v>1730</v>
      </c>
      <c r="G70" s="611">
        <v>1906044</v>
      </c>
      <c r="H70" s="456" t="s">
        <v>1781</v>
      </c>
      <c r="I70" s="585">
        <v>190604400</v>
      </c>
      <c r="J70" s="611" t="s">
        <v>1782</v>
      </c>
      <c r="K70" s="618">
        <v>274205</v>
      </c>
      <c r="L70" s="115"/>
      <c r="M70" s="115">
        <f t="shared" si="0"/>
        <v>274205</v>
      </c>
      <c r="N70" s="587" t="s">
        <v>1740</v>
      </c>
      <c r="O70" s="456" t="s">
        <v>1741</v>
      </c>
      <c r="P70" s="456" t="s">
        <v>1840</v>
      </c>
      <c r="Q70" s="615">
        <v>144330931.63953099</v>
      </c>
      <c r="R70" s="589"/>
      <c r="S70" s="589"/>
      <c r="T70" s="589"/>
      <c r="U70" s="589">
        <f>+Q70-R70+S70-T70</f>
        <v>144330931.63953099</v>
      </c>
      <c r="V70" s="590" t="s">
        <v>1841</v>
      </c>
      <c r="W70" s="954">
        <v>240</v>
      </c>
      <c r="X70" s="773" t="s">
        <v>1837</v>
      </c>
      <c r="Y70" s="955">
        <v>293304</v>
      </c>
      <c r="Z70" s="591">
        <v>272744</v>
      </c>
      <c r="AA70" s="591">
        <v>99059</v>
      </c>
      <c r="AB70" s="591">
        <v>36139</v>
      </c>
      <c r="AC70" s="591">
        <v>314186</v>
      </c>
      <c r="AD70" s="591">
        <v>116664</v>
      </c>
      <c r="AE70" s="591">
        <v>3247</v>
      </c>
      <c r="AF70" s="591">
        <v>6804</v>
      </c>
      <c r="AG70" s="591">
        <v>25</v>
      </c>
      <c r="AH70" s="591">
        <v>7</v>
      </c>
      <c r="AI70" s="591">
        <v>0</v>
      </c>
      <c r="AJ70" s="591">
        <v>0</v>
      </c>
      <c r="AK70" s="591">
        <v>50946</v>
      </c>
      <c r="AL70" s="591">
        <v>28554</v>
      </c>
      <c r="AM70" s="591">
        <v>53914</v>
      </c>
      <c r="AN70" s="592">
        <v>566048</v>
      </c>
      <c r="AO70" s="587" t="s">
        <v>1669</v>
      </c>
      <c r="AP70" s="587" t="s">
        <v>1670</v>
      </c>
      <c r="AQ70" s="115" t="s">
        <v>1671</v>
      </c>
    </row>
    <row r="71" spans="1:43" ht="45.75">
      <c r="A71" s="115">
        <v>1</v>
      </c>
      <c r="B71" s="597" t="s">
        <v>513</v>
      </c>
      <c r="C71" s="584">
        <v>19</v>
      </c>
      <c r="D71" s="115" t="s">
        <v>1559</v>
      </c>
      <c r="E71" s="23">
        <v>1906</v>
      </c>
      <c r="F71" s="115" t="s">
        <v>1730</v>
      </c>
      <c r="G71" s="611">
        <v>1906044</v>
      </c>
      <c r="H71" s="456" t="s">
        <v>1781</v>
      </c>
      <c r="I71" s="585">
        <v>190604400</v>
      </c>
      <c r="J71" s="611" t="s">
        <v>1782</v>
      </c>
      <c r="K71" s="618">
        <v>274205</v>
      </c>
      <c r="L71" s="115"/>
      <c r="M71" s="115">
        <f t="shared" si="0"/>
        <v>274205</v>
      </c>
      <c r="N71" s="587" t="s">
        <v>1740</v>
      </c>
      <c r="O71" s="456" t="s">
        <v>1741</v>
      </c>
      <c r="P71" s="456" t="s">
        <v>1842</v>
      </c>
      <c r="Q71" s="615">
        <v>60550253.824582651</v>
      </c>
      <c r="R71" s="589"/>
      <c r="S71" s="589"/>
      <c r="T71" s="589"/>
      <c r="U71" s="589">
        <f>+Q71-R71+S71-T71</f>
        <v>60550253.824582651</v>
      </c>
      <c r="V71" s="590" t="s">
        <v>1843</v>
      </c>
      <c r="W71" s="954">
        <v>240</v>
      </c>
      <c r="X71" s="773" t="s">
        <v>1837</v>
      </c>
      <c r="Y71" s="955">
        <v>293304</v>
      </c>
      <c r="Z71" s="591">
        <v>272744</v>
      </c>
      <c r="AA71" s="591">
        <v>99059</v>
      </c>
      <c r="AB71" s="591">
        <v>36139</v>
      </c>
      <c r="AC71" s="591">
        <v>314186</v>
      </c>
      <c r="AD71" s="591">
        <v>116664</v>
      </c>
      <c r="AE71" s="591">
        <v>3247</v>
      </c>
      <c r="AF71" s="591">
        <v>6804</v>
      </c>
      <c r="AG71" s="591">
        <v>25</v>
      </c>
      <c r="AH71" s="591">
        <v>7</v>
      </c>
      <c r="AI71" s="591">
        <v>0</v>
      </c>
      <c r="AJ71" s="591">
        <v>0</v>
      </c>
      <c r="AK71" s="591">
        <v>50946</v>
      </c>
      <c r="AL71" s="591">
        <v>28554</v>
      </c>
      <c r="AM71" s="591">
        <v>53914</v>
      </c>
      <c r="AN71" s="592">
        <v>566048</v>
      </c>
      <c r="AO71" s="587" t="s">
        <v>1669</v>
      </c>
      <c r="AP71" s="587" t="s">
        <v>1670</v>
      </c>
      <c r="AQ71" s="115" t="s">
        <v>1671</v>
      </c>
    </row>
    <row r="72" spans="1:43" ht="45.75">
      <c r="A72" s="115">
        <v>1</v>
      </c>
      <c r="B72" s="597" t="s">
        <v>513</v>
      </c>
      <c r="C72" s="584">
        <v>19</v>
      </c>
      <c r="D72" s="115" t="s">
        <v>1559</v>
      </c>
      <c r="E72" s="23">
        <v>1906</v>
      </c>
      <c r="F72" s="115" t="s">
        <v>1730</v>
      </c>
      <c r="G72" s="611">
        <v>1906044</v>
      </c>
      <c r="H72" s="456" t="s">
        <v>1781</v>
      </c>
      <c r="I72" s="585">
        <v>190604400</v>
      </c>
      <c r="J72" s="611" t="s">
        <v>1782</v>
      </c>
      <c r="K72" s="618">
        <v>274205</v>
      </c>
      <c r="L72" s="115"/>
      <c r="M72" s="115">
        <f t="shared" si="0"/>
        <v>274205</v>
      </c>
      <c r="N72" s="587" t="s">
        <v>1740</v>
      </c>
      <c r="O72" s="456" t="s">
        <v>1741</v>
      </c>
      <c r="P72" s="456" t="s">
        <v>1844</v>
      </c>
      <c r="Q72" s="615">
        <v>17032266.375531759</v>
      </c>
      <c r="R72" s="589"/>
      <c r="S72" s="589"/>
      <c r="T72" s="589"/>
      <c r="U72" s="589">
        <f>+Q72-R72+S72-T72</f>
        <v>17032266.375531759</v>
      </c>
      <c r="V72" s="590" t="s">
        <v>1845</v>
      </c>
      <c r="W72" s="954">
        <v>240</v>
      </c>
      <c r="X72" s="773" t="s">
        <v>1837</v>
      </c>
      <c r="Y72" s="955">
        <v>293304</v>
      </c>
      <c r="Z72" s="591">
        <v>272744</v>
      </c>
      <c r="AA72" s="591">
        <v>99059</v>
      </c>
      <c r="AB72" s="591">
        <v>36139</v>
      </c>
      <c r="AC72" s="591">
        <v>314186</v>
      </c>
      <c r="AD72" s="591">
        <v>116664</v>
      </c>
      <c r="AE72" s="591">
        <v>3247</v>
      </c>
      <c r="AF72" s="591">
        <v>6804</v>
      </c>
      <c r="AG72" s="591">
        <v>25</v>
      </c>
      <c r="AH72" s="591">
        <v>7</v>
      </c>
      <c r="AI72" s="591">
        <v>0</v>
      </c>
      <c r="AJ72" s="591">
        <v>0</v>
      </c>
      <c r="AK72" s="591">
        <v>50946</v>
      </c>
      <c r="AL72" s="591">
        <v>28554</v>
      </c>
      <c r="AM72" s="591">
        <v>53914</v>
      </c>
      <c r="AN72" s="592">
        <v>566048</v>
      </c>
      <c r="AO72" s="587" t="s">
        <v>1669</v>
      </c>
      <c r="AP72" s="587" t="s">
        <v>1670</v>
      </c>
      <c r="AQ72" s="115" t="s">
        <v>1671</v>
      </c>
    </row>
    <row r="73" spans="1:43" ht="45.75">
      <c r="A73" s="115">
        <v>1</v>
      </c>
      <c r="B73" s="597" t="s">
        <v>513</v>
      </c>
      <c r="C73" s="584">
        <v>19</v>
      </c>
      <c r="D73" s="115" t="s">
        <v>1559</v>
      </c>
      <c r="E73" s="23">
        <v>1906</v>
      </c>
      <c r="F73" s="115" t="s">
        <v>1730</v>
      </c>
      <c r="G73" s="611">
        <v>1906044</v>
      </c>
      <c r="H73" s="456" t="s">
        <v>1781</v>
      </c>
      <c r="I73" s="585">
        <v>190604400</v>
      </c>
      <c r="J73" s="611" t="s">
        <v>1782</v>
      </c>
      <c r="K73" s="618">
        <v>274205</v>
      </c>
      <c r="L73" s="115"/>
      <c r="M73" s="115">
        <f t="shared" si="0"/>
        <v>274205</v>
      </c>
      <c r="N73" s="587" t="s">
        <v>1740</v>
      </c>
      <c r="O73" s="456" t="s">
        <v>1741</v>
      </c>
      <c r="P73" s="456" t="s">
        <v>1846</v>
      </c>
      <c r="Q73" s="615">
        <v>31636779.515324268</v>
      </c>
      <c r="R73" s="589"/>
      <c r="S73" s="589"/>
      <c r="T73" s="589"/>
      <c r="U73" s="589">
        <f>+Q73-R73+S73-T73</f>
        <v>31636779.515324268</v>
      </c>
      <c r="V73" s="590" t="s">
        <v>1847</v>
      </c>
      <c r="W73" s="954">
        <v>240</v>
      </c>
      <c r="X73" s="773" t="s">
        <v>1837</v>
      </c>
      <c r="Y73" s="955">
        <v>293304</v>
      </c>
      <c r="Z73" s="591">
        <v>272744</v>
      </c>
      <c r="AA73" s="591">
        <v>99059</v>
      </c>
      <c r="AB73" s="591">
        <v>36139</v>
      </c>
      <c r="AC73" s="591">
        <v>314186</v>
      </c>
      <c r="AD73" s="591">
        <v>116664</v>
      </c>
      <c r="AE73" s="591">
        <v>3247</v>
      </c>
      <c r="AF73" s="591">
        <v>6804</v>
      </c>
      <c r="AG73" s="591">
        <v>25</v>
      </c>
      <c r="AH73" s="591">
        <v>7</v>
      </c>
      <c r="AI73" s="591">
        <v>0</v>
      </c>
      <c r="AJ73" s="591">
        <v>0</v>
      </c>
      <c r="AK73" s="591">
        <v>50946</v>
      </c>
      <c r="AL73" s="591">
        <v>28554</v>
      </c>
      <c r="AM73" s="591">
        <v>53914</v>
      </c>
      <c r="AN73" s="592">
        <v>566048</v>
      </c>
      <c r="AO73" s="587" t="s">
        <v>1669</v>
      </c>
      <c r="AP73" s="587" t="s">
        <v>1670</v>
      </c>
      <c r="AQ73" s="115" t="s">
        <v>1671</v>
      </c>
    </row>
    <row r="74" spans="1:43" ht="45.75">
      <c r="A74" s="115">
        <v>1</v>
      </c>
      <c r="B74" s="597" t="s">
        <v>513</v>
      </c>
      <c r="C74" s="584">
        <v>19</v>
      </c>
      <c r="D74" s="115" t="s">
        <v>1559</v>
      </c>
      <c r="E74" s="23">
        <v>1906</v>
      </c>
      <c r="F74" s="115" t="s">
        <v>1730</v>
      </c>
      <c r="G74" s="611">
        <v>1906044</v>
      </c>
      <c r="H74" s="456" t="s">
        <v>1781</v>
      </c>
      <c r="I74" s="585">
        <v>190604400</v>
      </c>
      <c r="J74" s="611" t="s">
        <v>1782</v>
      </c>
      <c r="K74" s="618">
        <v>274205</v>
      </c>
      <c r="L74" s="115"/>
      <c r="M74" s="115">
        <f t="shared" si="0"/>
        <v>274205</v>
      </c>
      <c r="N74" s="587" t="s">
        <v>1740</v>
      </c>
      <c r="O74" s="456" t="s">
        <v>1741</v>
      </c>
      <c r="P74" s="456" t="s">
        <v>1848</v>
      </c>
      <c r="Q74" s="615">
        <v>25164180.76794197</v>
      </c>
      <c r="R74" s="589"/>
      <c r="S74" s="589"/>
      <c r="T74" s="589"/>
      <c r="U74" s="589">
        <f>+Q74-R74+S74-T74</f>
        <v>25164180.76794197</v>
      </c>
      <c r="V74" s="590" t="s">
        <v>1849</v>
      </c>
      <c r="W74" s="954">
        <v>240</v>
      </c>
      <c r="X74" s="773" t="s">
        <v>1837</v>
      </c>
      <c r="Y74" s="955">
        <v>293304</v>
      </c>
      <c r="Z74" s="591">
        <v>272744</v>
      </c>
      <c r="AA74" s="591">
        <v>99059</v>
      </c>
      <c r="AB74" s="591">
        <v>36139</v>
      </c>
      <c r="AC74" s="591">
        <v>314186</v>
      </c>
      <c r="AD74" s="591">
        <v>116664</v>
      </c>
      <c r="AE74" s="591">
        <v>3247</v>
      </c>
      <c r="AF74" s="591">
        <v>6804</v>
      </c>
      <c r="AG74" s="591">
        <v>25</v>
      </c>
      <c r="AH74" s="591">
        <v>7</v>
      </c>
      <c r="AI74" s="591">
        <v>0</v>
      </c>
      <c r="AJ74" s="591">
        <v>0</v>
      </c>
      <c r="AK74" s="591">
        <v>50946</v>
      </c>
      <c r="AL74" s="591">
        <v>28554</v>
      </c>
      <c r="AM74" s="591">
        <v>53914</v>
      </c>
      <c r="AN74" s="592">
        <v>566048</v>
      </c>
      <c r="AO74" s="587" t="s">
        <v>1669</v>
      </c>
      <c r="AP74" s="587" t="s">
        <v>1670</v>
      </c>
      <c r="AQ74" s="115" t="s">
        <v>1671</v>
      </c>
    </row>
    <row r="75" spans="1:43" ht="45.75">
      <c r="A75" s="115">
        <v>1</v>
      </c>
      <c r="B75" s="597" t="s">
        <v>513</v>
      </c>
      <c r="C75" s="584">
        <v>19</v>
      </c>
      <c r="D75" s="115" t="s">
        <v>1559</v>
      </c>
      <c r="E75" s="23">
        <v>1906</v>
      </c>
      <c r="F75" s="115" t="s">
        <v>1730</v>
      </c>
      <c r="G75" s="611">
        <v>1906044</v>
      </c>
      <c r="H75" s="456" t="s">
        <v>1781</v>
      </c>
      <c r="I75" s="585">
        <v>190604400</v>
      </c>
      <c r="J75" s="611" t="s">
        <v>1782</v>
      </c>
      <c r="K75" s="618">
        <v>274205</v>
      </c>
      <c r="L75" s="115"/>
      <c r="M75" s="115">
        <f t="shared" si="0"/>
        <v>274205</v>
      </c>
      <c r="N75" s="587" t="s">
        <v>1740</v>
      </c>
      <c r="O75" s="456" t="s">
        <v>1741</v>
      </c>
      <c r="P75" s="456" t="s">
        <v>1850</v>
      </c>
      <c r="Q75" s="615">
        <v>94137680.142624319</v>
      </c>
      <c r="R75" s="589"/>
      <c r="S75" s="589"/>
      <c r="T75" s="589"/>
      <c r="U75" s="589">
        <f>+Q75-R75+S75-T75</f>
        <v>94137680.142624319</v>
      </c>
      <c r="V75" s="590" t="s">
        <v>1851</v>
      </c>
      <c r="W75" s="954">
        <v>240</v>
      </c>
      <c r="X75" s="773" t="s">
        <v>1837</v>
      </c>
      <c r="Y75" s="955">
        <v>293304</v>
      </c>
      <c r="Z75" s="591">
        <v>272744</v>
      </c>
      <c r="AA75" s="591">
        <v>99059</v>
      </c>
      <c r="AB75" s="591">
        <v>36139</v>
      </c>
      <c r="AC75" s="591">
        <v>314186</v>
      </c>
      <c r="AD75" s="591">
        <v>116664</v>
      </c>
      <c r="AE75" s="591">
        <v>3247</v>
      </c>
      <c r="AF75" s="591">
        <v>6804</v>
      </c>
      <c r="AG75" s="591">
        <v>25</v>
      </c>
      <c r="AH75" s="591">
        <v>7</v>
      </c>
      <c r="AI75" s="591">
        <v>0</v>
      </c>
      <c r="AJ75" s="591">
        <v>0</v>
      </c>
      <c r="AK75" s="591">
        <v>50946</v>
      </c>
      <c r="AL75" s="591">
        <v>28554</v>
      </c>
      <c r="AM75" s="591">
        <v>53914</v>
      </c>
      <c r="AN75" s="592">
        <v>566048</v>
      </c>
      <c r="AO75" s="587" t="s">
        <v>1669</v>
      </c>
      <c r="AP75" s="587" t="s">
        <v>1670</v>
      </c>
      <c r="AQ75" s="115" t="s">
        <v>1671</v>
      </c>
    </row>
    <row r="76" spans="1:43" ht="45.75">
      <c r="A76" s="115">
        <v>1</v>
      </c>
      <c r="B76" s="597" t="s">
        <v>513</v>
      </c>
      <c r="C76" s="584">
        <v>19</v>
      </c>
      <c r="D76" s="115" t="s">
        <v>1559</v>
      </c>
      <c r="E76" s="23">
        <v>1906</v>
      </c>
      <c r="F76" s="115" t="s">
        <v>1730</v>
      </c>
      <c r="G76" s="611">
        <v>1906044</v>
      </c>
      <c r="H76" s="456" t="s">
        <v>1781</v>
      </c>
      <c r="I76" s="585">
        <v>190604400</v>
      </c>
      <c r="J76" s="611" t="s">
        <v>1782</v>
      </c>
      <c r="K76" s="618">
        <v>274205</v>
      </c>
      <c r="L76" s="115"/>
      <c r="M76" s="115">
        <f t="shared" si="0"/>
        <v>274205</v>
      </c>
      <c r="N76" s="587" t="s">
        <v>1740</v>
      </c>
      <c r="O76" s="456" t="s">
        <v>1741</v>
      </c>
      <c r="P76" s="456" t="s">
        <v>1852</v>
      </c>
      <c r="Q76" s="615">
        <v>115286569.42</v>
      </c>
      <c r="R76" s="589"/>
      <c r="S76" s="589"/>
      <c r="T76" s="589"/>
      <c r="U76" s="589">
        <f>+Q76-R76+S76-T76</f>
        <v>115286569.42</v>
      </c>
      <c r="V76" s="590" t="s">
        <v>1853</v>
      </c>
      <c r="W76" s="954">
        <v>240</v>
      </c>
      <c r="X76" s="773" t="s">
        <v>1837</v>
      </c>
      <c r="Y76" s="955">
        <v>293304</v>
      </c>
      <c r="Z76" s="591">
        <v>272744</v>
      </c>
      <c r="AA76" s="591">
        <v>99059</v>
      </c>
      <c r="AB76" s="591">
        <v>36139</v>
      </c>
      <c r="AC76" s="591">
        <v>314186</v>
      </c>
      <c r="AD76" s="591">
        <v>116664</v>
      </c>
      <c r="AE76" s="591">
        <v>3247</v>
      </c>
      <c r="AF76" s="591">
        <v>6804</v>
      </c>
      <c r="AG76" s="591">
        <v>25</v>
      </c>
      <c r="AH76" s="591">
        <v>7</v>
      </c>
      <c r="AI76" s="591">
        <v>0</v>
      </c>
      <c r="AJ76" s="591">
        <v>0</v>
      </c>
      <c r="AK76" s="591">
        <v>50946</v>
      </c>
      <c r="AL76" s="591">
        <v>28554</v>
      </c>
      <c r="AM76" s="591">
        <v>53914</v>
      </c>
      <c r="AN76" s="592">
        <v>566048</v>
      </c>
      <c r="AO76" s="587" t="s">
        <v>1669</v>
      </c>
      <c r="AP76" s="587" t="s">
        <v>1670</v>
      </c>
      <c r="AQ76" s="115" t="s">
        <v>1671</v>
      </c>
    </row>
    <row r="77" spans="1:43" ht="45.75">
      <c r="A77" s="115">
        <v>1</v>
      </c>
      <c r="B77" s="597" t="s">
        <v>513</v>
      </c>
      <c r="C77" s="584">
        <v>19</v>
      </c>
      <c r="D77" s="115" t="s">
        <v>1559</v>
      </c>
      <c r="E77" s="23">
        <v>1906</v>
      </c>
      <c r="F77" s="115" t="s">
        <v>1730</v>
      </c>
      <c r="G77" s="611">
        <v>1906044</v>
      </c>
      <c r="H77" s="456" t="s">
        <v>1781</v>
      </c>
      <c r="I77" s="585">
        <v>190604400</v>
      </c>
      <c r="J77" s="611" t="s">
        <v>1782</v>
      </c>
      <c r="K77" s="618">
        <v>274205</v>
      </c>
      <c r="L77" s="115"/>
      <c r="M77" s="115">
        <f t="shared" si="0"/>
        <v>274205</v>
      </c>
      <c r="N77" s="587" t="s">
        <v>1740</v>
      </c>
      <c r="O77" s="456" t="s">
        <v>1741</v>
      </c>
      <c r="P77" s="456" t="s">
        <v>1854</v>
      </c>
      <c r="Q77" s="615">
        <v>16859156.320507631</v>
      </c>
      <c r="R77" s="589"/>
      <c r="S77" s="589"/>
      <c r="T77" s="589"/>
      <c r="U77" s="589">
        <f>+Q77-R77+S77-T77</f>
        <v>16859156.320507631</v>
      </c>
      <c r="V77" s="590" t="s">
        <v>1855</v>
      </c>
      <c r="W77" s="954">
        <v>240</v>
      </c>
      <c r="X77" s="773" t="s">
        <v>1837</v>
      </c>
      <c r="Y77" s="955">
        <v>293304</v>
      </c>
      <c r="Z77" s="591">
        <v>272744</v>
      </c>
      <c r="AA77" s="591">
        <v>99059</v>
      </c>
      <c r="AB77" s="591">
        <v>36139</v>
      </c>
      <c r="AC77" s="591">
        <v>314186</v>
      </c>
      <c r="AD77" s="591">
        <v>116664</v>
      </c>
      <c r="AE77" s="591">
        <v>3247</v>
      </c>
      <c r="AF77" s="591">
        <v>6804</v>
      </c>
      <c r="AG77" s="591">
        <v>25</v>
      </c>
      <c r="AH77" s="591">
        <v>7</v>
      </c>
      <c r="AI77" s="591">
        <v>0</v>
      </c>
      <c r="AJ77" s="591">
        <v>0</v>
      </c>
      <c r="AK77" s="591">
        <v>50946</v>
      </c>
      <c r="AL77" s="591">
        <v>28554</v>
      </c>
      <c r="AM77" s="591">
        <v>53914</v>
      </c>
      <c r="AN77" s="592">
        <v>566048</v>
      </c>
      <c r="AO77" s="587" t="s">
        <v>1669</v>
      </c>
      <c r="AP77" s="587" t="s">
        <v>1670</v>
      </c>
      <c r="AQ77" s="115" t="s">
        <v>1671</v>
      </c>
    </row>
    <row r="78" spans="1:43" ht="45.75">
      <c r="A78" s="115">
        <v>1</v>
      </c>
      <c r="B78" s="597" t="s">
        <v>513</v>
      </c>
      <c r="C78" s="584">
        <v>19</v>
      </c>
      <c r="D78" s="115" t="s">
        <v>1559</v>
      </c>
      <c r="E78" s="23">
        <v>1906</v>
      </c>
      <c r="F78" s="115" t="s">
        <v>1730</v>
      </c>
      <c r="G78" s="611">
        <v>1906044</v>
      </c>
      <c r="H78" s="456" t="s">
        <v>1781</v>
      </c>
      <c r="I78" s="585">
        <v>190604400</v>
      </c>
      <c r="J78" s="611" t="s">
        <v>1782</v>
      </c>
      <c r="K78" s="618">
        <v>274205</v>
      </c>
      <c r="L78" s="115"/>
      <c r="M78" s="115">
        <f t="shared" si="0"/>
        <v>274205</v>
      </c>
      <c r="N78" s="587" t="s">
        <v>1740</v>
      </c>
      <c r="O78" s="456" t="s">
        <v>1741</v>
      </c>
      <c r="P78" s="456" t="s">
        <v>1856</v>
      </c>
      <c r="Q78" s="615">
        <v>89788836.317389145</v>
      </c>
      <c r="R78" s="589"/>
      <c r="S78" s="589"/>
      <c r="T78" s="589"/>
      <c r="U78" s="589">
        <f>+Q78-R78+S78-T78</f>
        <v>89788836.317389145</v>
      </c>
      <c r="V78" s="590" t="s">
        <v>1857</v>
      </c>
      <c r="W78" s="954">
        <v>240</v>
      </c>
      <c r="X78" s="773" t="s">
        <v>1837</v>
      </c>
      <c r="Y78" s="955">
        <v>293304</v>
      </c>
      <c r="Z78" s="591">
        <v>272744</v>
      </c>
      <c r="AA78" s="591">
        <v>99059</v>
      </c>
      <c r="AB78" s="591">
        <v>36139</v>
      </c>
      <c r="AC78" s="591">
        <v>314186</v>
      </c>
      <c r="AD78" s="591">
        <v>116664</v>
      </c>
      <c r="AE78" s="591">
        <v>3247</v>
      </c>
      <c r="AF78" s="591">
        <v>6804</v>
      </c>
      <c r="AG78" s="591">
        <v>25</v>
      </c>
      <c r="AH78" s="591">
        <v>7</v>
      </c>
      <c r="AI78" s="591">
        <v>0</v>
      </c>
      <c r="AJ78" s="591">
        <v>0</v>
      </c>
      <c r="AK78" s="591">
        <v>50946</v>
      </c>
      <c r="AL78" s="591">
        <v>28554</v>
      </c>
      <c r="AM78" s="591">
        <v>53914</v>
      </c>
      <c r="AN78" s="592">
        <v>566048</v>
      </c>
      <c r="AO78" s="587" t="s">
        <v>1669</v>
      </c>
      <c r="AP78" s="587" t="s">
        <v>1670</v>
      </c>
      <c r="AQ78" s="115" t="s">
        <v>1671</v>
      </c>
    </row>
    <row r="79" spans="1:43" ht="45.75">
      <c r="A79" s="115">
        <v>1</v>
      </c>
      <c r="B79" s="597" t="s">
        <v>513</v>
      </c>
      <c r="C79" s="584">
        <v>19</v>
      </c>
      <c r="D79" s="115" t="s">
        <v>1559</v>
      </c>
      <c r="E79" s="23">
        <v>1906</v>
      </c>
      <c r="F79" s="115" t="s">
        <v>1730</v>
      </c>
      <c r="G79" s="611">
        <v>1906044</v>
      </c>
      <c r="H79" s="456" t="s">
        <v>1781</v>
      </c>
      <c r="I79" s="585">
        <v>190604400</v>
      </c>
      <c r="J79" s="611" t="s">
        <v>1782</v>
      </c>
      <c r="K79" s="618">
        <v>274205</v>
      </c>
      <c r="L79" s="115"/>
      <c r="M79" s="115">
        <f t="shared" si="0"/>
        <v>274205</v>
      </c>
      <c r="N79" s="587" t="s">
        <v>1740</v>
      </c>
      <c r="O79" s="456" t="s">
        <v>1741</v>
      </c>
      <c r="P79" s="456" t="s">
        <v>1858</v>
      </c>
      <c r="Q79" s="615">
        <v>14967620.855456177</v>
      </c>
      <c r="R79" s="589"/>
      <c r="S79" s="589"/>
      <c r="T79" s="589"/>
      <c r="U79" s="589">
        <f>+Q79-R79+S79-T79</f>
        <v>14967620.855456177</v>
      </c>
      <c r="V79" s="590" t="s">
        <v>1859</v>
      </c>
      <c r="W79" s="954">
        <v>240</v>
      </c>
      <c r="X79" s="773" t="s">
        <v>1837</v>
      </c>
      <c r="Y79" s="955">
        <v>293304</v>
      </c>
      <c r="Z79" s="591">
        <v>272744</v>
      </c>
      <c r="AA79" s="591">
        <v>99059</v>
      </c>
      <c r="AB79" s="591">
        <v>36139</v>
      </c>
      <c r="AC79" s="591">
        <v>314186</v>
      </c>
      <c r="AD79" s="591">
        <v>116664</v>
      </c>
      <c r="AE79" s="591">
        <v>3247</v>
      </c>
      <c r="AF79" s="591">
        <v>6804</v>
      </c>
      <c r="AG79" s="591">
        <v>25</v>
      </c>
      <c r="AH79" s="591">
        <v>7</v>
      </c>
      <c r="AI79" s="591">
        <v>0</v>
      </c>
      <c r="AJ79" s="591">
        <v>0</v>
      </c>
      <c r="AK79" s="591">
        <v>50946</v>
      </c>
      <c r="AL79" s="591">
        <v>28554</v>
      </c>
      <c r="AM79" s="591">
        <v>53914</v>
      </c>
      <c r="AN79" s="592">
        <v>566048</v>
      </c>
      <c r="AO79" s="587" t="s">
        <v>1669</v>
      </c>
      <c r="AP79" s="587" t="s">
        <v>1670</v>
      </c>
      <c r="AQ79" s="115" t="s">
        <v>1671</v>
      </c>
    </row>
    <row r="80" spans="1:43" ht="45.75">
      <c r="A80" s="115">
        <v>1</v>
      </c>
      <c r="B80" s="597" t="s">
        <v>513</v>
      </c>
      <c r="C80" s="584">
        <v>19</v>
      </c>
      <c r="D80" s="115" t="s">
        <v>1559</v>
      </c>
      <c r="E80" s="23">
        <v>1906</v>
      </c>
      <c r="F80" s="115" t="s">
        <v>1730</v>
      </c>
      <c r="G80" s="611">
        <v>1906044</v>
      </c>
      <c r="H80" s="456" t="s">
        <v>1781</v>
      </c>
      <c r="I80" s="585">
        <v>190604400</v>
      </c>
      <c r="J80" s="611" t="s">
        <v>1782</v>
      </c>
      <c r="K80" s="618">
        <v>274205</v>
      </c>
      <c r="L80" s="115"/>
      <c r="M80" s="115">
        <f t="shared" si="0"/>
        <v>274205</v>
      </c>
      <c r="N80" s="587" t="s">
        <v>1740</v>
      </c>
      <c r="O80" s="456" t="s">
        <v>1741</v>
      </c>
      <c r="P80" s="456" t="s">
        <v>1860</v>
      </c>
      <c r="Q80" s="615">
        <v>1142118781.6729784</v>
      </c>
      <c r="R80" s="589"/>
      <c r="S80" s="589"/>
      <c r="T80" s="589"/>
      <c r="U80" s="589">
        <f>+Q80-R80+S80-T80</f>
        <v>1142118781.6729784</v>
      </c>
      <c r="V80" s="590" t="s">
        <v>1861</v>
      </c>
      <c r="W80" s="954">
        <v>243</v>
      </c>
      <c r="X80" s="773" t="s">
        <v>1862</v>
      </c>
      <c r="Y80" s="955">
        <v>293304</v>
      </c>
      <c r="Z80" s="591">
        <v>272744</v>
      </c>
      <c r="AA80" s="591">
        <v>99059</v>
      </c>
      <c r="AB80" s="591">
        <v>36139</v>
      </c>
      <c r="AC80" s="591">
        <v>314186</v>
      </c>
      <c r="AD80" s="591">
        <v>116664</v>
      </c>
      <c r="AE80" s="591">
        <v>3247</v>
      </c>
      <c r="AF80" s="591">
        <v>6804</v>
      </c>
      <c r="AG80" s="591">
        <v>25</v>
      </c>
      <c r="AH80" s="591">
        <v>7</v>
      </c>
      <c r="AI80" s="591">
        <v>0</v>
      </c>
      <c r="AJ80" s="591">
        <v>0</v>
      </c>
      <c r="AK80" s="591">
        <v>50946</v>
      </c>
      <c r="AL80" s="591">
        <v>28554</v>
      </c>
      <c r="AM80" s="591">
        <v>53914</v>
      </c>
      <c r="AN80" s="592">
        <v>566048</v>
      </c>
      <c r="AO80" s="587" t="s">
        <v>1669</v>
      </c>
      <c r="AP80" s="587" t="s">
        <v>1670</v>
      </c>
      <c r="AQ80" s="115" t="s">
        <v>1671</v>
      </c>
    </row>
    <row r="81" spans="1:43" ht="45.75">
      <c r="A81" s="115">
        <v>1</v>
      </c>
      <c r="B81" s="597" t="s">
        <v>513</v>
      </c>
      <c r="C81" s="584">
        <v>19</v>
      </c>
      <c r="D81" s="115" t="s">
        <v>1559</v>
      </c>
      <c r="E81" s="23">
        <v>1906</v>
      </c>
      <c r="F81" s="115" t="s">
        <v>1730</v>
      </c>
      <c r="G81" s="611">
        <v>1906044</v>
      </c>
      <c r="H81" s="456" t="s">
        <v>1781</v>
      </c>
      <c r="I81" s="585">
        <v>190604400</v>
      </c>
      <c r="J81" s="611" t="s">
        <v>1782</v>
      </c>
      <c r="K81" s="618">
        <v>274205</v>
      </c>
      <c r="L81" s="115"/>
      <c r="M81" s="115">
        <f t="shared" si="0"/>
        <v>274205</v>
      </c>
      <c r="N81" s="587" t="s">
        <v>1740</v>
      </c>
      <c r="O81" s="456" t="s">
        <v>1741</v>
      </c>
      <c r="P81" s="456" t="s">
        <v>1863</v>
      </c>
      <c r="Q81" s="615">
        <v>16135579.209570797</v>
      </c>
      <c r="R81" s="589"/>
      <c r="S81" s="589"/>
      <c r="T81" s="589"/>
      <c r="U81" s="589">
        <f>+Q81-R81+S81-T81</f>
        <v>16135579.209570797</v>
      </c>
      <c r="V81" s="590" t="s">
        <v>1864</v>
      </c>
      <c r="W81" s="954">
        <v>243</v>
      </c>
      <c r="X81" s="773" t="s">
        <v>1862</v>
      </c>
      <c r="Y81" s="955">
        <v>293304</v>
      </c>
      <c r="Z81" s="591">
        <v>272744</v>
      </c>
      <c r="AA81" s="591">
        <v>99059</v>
      </c>
      <c r="AB81" s="591">
        <v>36139</v>
      </c>
      <c r="AC81" s="591">
        <v>314186</v>
      </c>
      <c r="AD81" s="591">
        <v>116664</v>
      </c>
      <c r="AE81" s="591">
        <v>3247</v>
      </c>
      <c r="AF81" s="591">
        <v>6804</v>
      </c>
      <c r="AG81" s="591">
        <v>25</v>
      </c>
      <c r="AH81" s="591">
        <v>7</v>
      </c>
      <c r="AI81" s="591">
        <v>0</v>
      </c>
      <c r="AJ81" s="591">
        <v>0</v>
      </c>
      <c r="AK81" s="591">
        <v>50946</v>
      </c>
      <c r="AL81" s="591">
        <v>28554</v>
      </c>
      <c r="AM81" s="591">
        <v>53914</v>
      </c>
      <c r="AN81" s="592">
        <v>566048</v>
      </c>
      <c r="AO81" s="587" t="s">
        <v>1669</v>
      </c>
      <c r="AP81" s="587" t="s">
        <v>1670</v>
      </c>
      <c r="AQ81" s="115" t="s">
        <v>1671</v>
      </c>
    </row>
    <row r="82" spans="1:43" ht="45.75">
      <c r="A82" s="115">
        <v>1</v>
      </c>
      <c r="B82" s="597" t="s">
        <v>513</v>
      </c>
      <c r="C82" s="584">
        <v>19</v>
      </c>
      <c r="D82" s="115" t="s">
        <v>1559</v>
      </c>
      <c r="E82" s="23">
        <v>1906</v>
      </c>
      <c r="F82" s="115" t="s">
        <v>1730</v>
      </c>
      <c r="G82" s="611">
        <v>1906044</v>
      </c>
      <c r="H82" s="456" t="s">
        <v>1781</v>
      </c>
      <c r="I82" s="585">
        <v>190604400</v>
      </c>
      <c r="J82" s="611" t="s">
        <v>1782</v>
      </c>
      <c r="K82" s="618">
        <v>274205</v>
      </c>
      <c r="L82" s="115"/>
      <c r="M82" s="115">
        <f t="shared" si="0"/>
        <v>274205</v>
      </c>
      <c r="N82" s="587" t="s">
        <v>1740</v>
      </c>
      <c r="O82" s="456" t="s">
        <v>1741</v>
      </c>
      <c r="P82" s="456" t="s">
        <v>1865</v>
      </c>
      <c r="Q82" s="615">
        <v>301244480.58639252</v>
      </c>
      <c r="R82" s="589"/>
      <c r="S82" s="589"/>
      <c r="T82" s="589"/>
      <c r="U82" s="589">
        <f>+Q82-R82+S82-T82</f>
        <v>301244480.58639252</v>
      </c>
      <c r="V82" s="590" t="s">
        <v>1866</v>
      </c>
      <c r="W82" s="954">
        <v>243</v>
      </c>
      <c r="X82" s="773" t="s">
        <v>1862</v>
      </c>
      <c r="Y82" s="955">
        <v>293304</v>
      </c>
      <c r="Z82" s="591">
        <v>272744</v>
      </c>
      <c r="AA82" s="591">
        <v>99059</v>
      </c>
      <c r="AB82" s="591">
        <v>36139</v>
      </c>
      <c r="AC82" s="591">
        <v>314186</v>
      </c>
      <c r="AD82" s="591">
        <v>116664</v>
      </c>
      <c r="AE82" s="591">
        <v>3247</v>
      </c>
      <c r="AF82" s="591">
        <v>6804</v>
      </c>
      <c r="AG82" s="591">
        <v>25</v>
      </c>
      <c r="AH82" s="591">
        <v>7</v>
      </c>
      <c r="AI82" s="591">
        <v>0</v>
      </c>
      <c r="AJ82" s="591">
        <v>0</v>
      </c>
      <c r="AK82" s="591">
        <v>50946</v>
      </c>
      <c r="AL82" s="591">
        <v>28554</v>
      </c>
      <c r="AM82" s="591">
        <v>53914</v>
      </c>
      <c r="AN82" s="592">
        <v>566048</v>
      </c>
      <c r="AO82" s="587" t="s">
        <v>1669</v>
      </c>
      <c r="AP82" s="587" t="s">
        <v>1670</v>
      </c>
      <c r="AQ82" s="115" t="s">
        <v>1671</v>
      </c>
    </row>
    <row r="83" spans="1:43" ht="45.75">
      <c r="A83" s="115">
        <v>1</v>
      </c>
      <c r="B83" s="597" t="s">
        <v>513</v>
      </c>
      <c r="C83" s="584">
        <v>19</v>
      </c>
      <c r="D83" s="115" t="s">
        <v>1559</v>
      </c>
      <c r="E83" s="23">
        <v>1906</v>
      </c>
      <c r="F83" s="115" t="s">
        <v>1730</v>
      </c>
      <c r="G83" s="611">
        <v>1906044</v>
      </c>
      <c r="H83" s="456" t="s">
        <v>1781</v>
      </c>
      <c r="I83" s="585">
        <v>190604400</v>
      </c>
      <c r="J83" s="611" t="s">
        <v>1782</v>
      </c>
      <c r="K83" s="618">
        <v>274205</v>
      </c>
      <c r="L83" s="115"/>
      <c r="M83" s="115">
        <f t="shared" si="0"/>
        <v>274205</v>
      </c>
      <c r="N83" s="587" t="s">
        <v>1740</v>
      </c>
      <c r="O83" s="456" t="s">
        <v>1741</v>
      </c>
      <c r="P83" s="456" t="s">
        <v>1867</v>
      </c>
      <c r="Q83" s="615">
        <v>126379215.26230671</v>
      </c>
      <c r="R83" s="589"/>
      <c r="S83" s="589"/>
      <c r="T83" s="589"/>
      <c r="U83" s="589">
        <f>+Q83-R83+S83-T83</f>
        <v>126379215.26230671</v>
      </c>
      <c r="V83" s="590" t="s">
        <v>1868</v>
      </c>
      <c r="W83" s="954">
        <v>243</v>
      </c>
      <c r="X83" s="773" t="s">
        <v>1862</v>
      </c>
      <c r="Y83" s="955">
        <v>293304</v>
      </c>
      <c r="Z83" s="591">
        <v>272744</v>
      </c>
      <c r="AA83" s="591">
        <v>99059</v>
      </c>
      <c r="AB83" s="591">
        <v>36139</v>
      </c>
      <c r="AC83" s="591">
        <v>314186</v>
      </c>
      <c r="AD83" s="591">
        <v>116664</v>
      </c>
      <c r="AE83" s="591">
        <v>3247</v>
      </c>
      <c r="AF83" s="591">
        <v>6804</v>
      </c>
      <c r="AG83" s="591">
        <v>25</v>
      </c>
      <c r="AH83" s="591">
        <v>7</v>
      </c>
      <c r="AI83" s="591">
        <v>0</v>
      </c>
      <c r="AJ83" s="591">
        <v>0</v>
      </c>
      <c r="AK83" s="591">
        <v>50946</v>
      </c>
      <c r="AL83" s="591">
        <v>28554</v>
      </c>
      <c r="AM83" s="591">
        <v>53914</v>
      </c>
      <c r="AN83" s="592">
        <v>566048</v>
      </c>
      <c r="AO83" s="587" t="s">
        <v>1669</v>
      </c>
      <c r="AP83" s="587" t="s">
        <v>1670</v>
      </c>
      <c r="AQ83" s="115" t="s">
        <v>1671</v>
      </c>
    </row>
    <row r="84" spans="1:43" ht="45.75">
      <c r="A84" s="115">
        <v>1</v>
      </c>
      <c r="B84" s="597" t="s">
        <v>513</v>
      </c>
      <c r="C84" s="584">
        <v>19</v>
      </c>
      <c r="D84" s="115" t="s">
        <v>1559</v>
      </c>
      <c r="E84" s="23">
        <v>1906</v>
      </c>
      <c r="F84" s="115" t="s">
        <v>1730</v>
      </c>
      <c r="G84" s="611">
        <v>1906044</v>
      </c>
      <c r="H84" s="456" t="s">
        <v>1781</v>
      </c>
      <c r="I84" s="585">
        <v>190604400</v>
      </c>
      <c r="J84" s="611" t="s">
        <v>1782</v>
      </c>
      <c r="K84" s="618">
        <v>274205</v>
      </c>
      <c r="L84" s="115"/>
      <c r="M84" s="115">
        <f t="shared" si="0"/>
        <v>274205</v>
      </c>
      <c r="N84" s="587" t="s">
        <v>1740</v>
      </c>
      <c r="O84" s="456" t="s">
        <v>1741</v>
      </c>
      <c r="P84" s="456" t="s">
        <v>1869</v>
      </c>
      <c r="Q84" s="615">
        <v>35549386.833172478</v>
      </c>
      <c r="R84" s="589"/>
      <c r="S84" s="589"/>
      <c r="T84" s="589"/>
      <c r="U84" s="589">
        <f>+Q84-R84+S84-T84</f>
        <v>35549386.833172478</v>
      </c>
      <c r="V84" s="590" t="s">
        <v>1870</v>
      </c>
      <c r="W84" s="954">
        <v>243</v>
      </c>
      <c r="X84" s="773" t="s">
        <v>1862</v>
      </c>
      <c r="Y84" s="955">
        <v>293304</v>
      </c>
      <c r="Z84" s="591">
        <v>272744</v>
      </c>
      <c r="AA84" s="591">
        <v>99059</v>
      </c>
      <c r="AB84" s="591">
        <v>36139</v>
      </c>
      <c r="AC84" s="591">
        <v>314186</v>
      </c>
      <c r="AD84" s="591">
        <v>116664</v>
      </c>
      <c r="AE84" s="591">
        <v>3247</v>
      </c>
      <c r="AF84" s="591">
        <v>6804</v>
      </c>
      <c r="AG84" s="591">
        <v>25</v>
      </c>
      <c r="AH84" s="591">
        <v>7</v>
      </c>
      <c r="AI84" s="591">
        <v>0</v>
      </c>
      <c r="AJ84" s="591">
        <v>0</v>
      </c>
      <c r="AK84" s="591">
        <v>50946</v>
      </c>
      <c r="AL84" s="591">
        <v>28554</v>
      </c>
      <c r="AM84" s="591">
        <v>53914</v>
      </c>
      <c r="AN84" s="592">
        <v>566048</v>
      </c>
      <c r="AO84" s="587" t="s">
        <v>1669</v>
      </c>
      <c r="AP84" s="587" t="s">
        <v>1670</v>
      </c>
      <c r="AQ84" s="115" t="s">
        <v>1671</v>
      </c>
    </row>
    <row r="85" spans="1:43" ht="45.75">
      <c r="A85" s="115">
        <v>1</v>
      </c>
      <c r="B85" s="597" t="s">
        <v>513</v>
      </c>
      <c r="C85" s="584">
        <v>19</v>
      </c>
      <c r="D85" s="115" t="s">
        <v>1559</v>
      </c>
      <c r="E85" s="23">
        <v>1906</v>
      </c>
      <c r="F85" s="115" t="s">
        <v>1730</v>
      </c>
      <c r="G85" s="611">
        <v>1906044</v>
      </c>
      <c r="H85" s="456" t="s">
        <v>1781</v>
      </c>
      <c r="I85" s="585">
        <v>190604400</v>
      </c>
      <c r="J85" s="611" t="s">
        <v>1782</v>
      </c>
      <c r="K85" s="618">
        <v>274205</v>
      </c>
      <c r="L85" s="115"/>
      <c r="M85" s="115">
        <f t="shared" si="0"/>
        <v>274205</v>
      </c>
      <c r="N85" s="587" t="s">
        <v>1740</v>
      </c>
      <c r="O85" s="456" t="s">
        <v>1741</v>
      </c>
      <c r="P85" s="456" t="s">
        <v>1871</v>
      </c>
      <c r="Q85" s="615">
        <v>66031619.961721979</v>
      </c>
      <c r="R85" s="589"/>
      <c r="S85" s="589"/>
      <c r="T85" s="589"/>
      <c r="U85" s="589">
        <f>+Q85-R85+S85-T85</f>
        <v>66031619.961721979</v>
      </c>
      <c r="V85" s="590" t="s">
        <v>1872</v>
      </c>
      <c r="W85" s="954">
        <v>243</v>
      </c>
      <c r="X85" s="773" t="s">
        <v>1862</v>
      </c>
      <c r="Y85" s="955">
        <v>293304</v>
      </c>
      <c r="Z85" s="591">
        <v>272744</v>
      </c>
      <c r="AA85" s="591">
        <v>99059</v>
      </c>
      <c r="AB85" s="591">
        <v>36139</v>
      </c>
      <c r="AC85" s="591">
        <v>314186</v>
      </c>
      <c r="AD85" s="591">
        <v>116664</v>
      </c>
      <c r="AE85" s="591">
        <v>3247</v>
      </c>
      <c r="AF85" s="591">
        <v>6804</v>
      </c>
      <c r="AG85" s="591">
        <v>25</v>
      </c>
      <c r="AH85" s="591">
        <v>7</v>
      </c>
      <c r="AI85" s="591">
        <v>0</v>
      </c>
      <c r="AJ85" s="591">
        <v>0</v>
      </c>
      <c r="AK85" s="591">
        <v>50946</v>
      </c>
      <c r="AL85" s="591">
        <v>28554</v>
      </c>
      <c r="AM85" s="591">
        <v>53914</v>
      </c>
      <c r="AN85" s="592">
        <v>566048</v>
      </c>
      <c r="AO85" s="587" t="s">
        <v>1669</v>
      </c>
      <c r="AP85" s="587" t="s">
        <v>1670</v>
      </c>
      <c r="AQ85" s="115" t="s">
        <v>1671</v>
      </c>
    </row>
    <row r="86" spans="1:43" ht="45.75">
      <c r="A86" s="115">
        <v>1</v>
      </c>
      <c r="B86" s="597" t="s">
        <v>513</v>
      </c>
      <c r="C86" s="584">
        <v>19</v>
      </c>
      <c r="D86" s="115" t="s">
        <v>1559</v>
      </c>
      <c r="E86" s="23">
        <v>1906</v>
      </c>
      <c r="F86" s="115" t="s">
        <v>1730</v>
      </c>
      <c r="G86" s="611">
        <v>1906044</v>
      </c>
      <c r="H86" s="456" t="s">
        <v>1781</v>
      </c>
      <c r="I86" s="585">
        <v>190604400</v>
      </c>
      <c r="J86" s="611" t="s">
        <v>1782</v>
      </c>
      <c r="K86" s="618">
        <v>274205</v>
      </c>
      <c r="L86" s="115"/>
      <c r="M86" s="115">
        <f t="shared" si="0"/>
        <v>274205</v>
      </c>
      <c r="N86" s="587" t="s">
        <v>1740</v>
      </c>
      <c r="O86" s="456" t="s">
        <v>1741</v>
      </c>
      <c r="P86" s="456" t="s">
        <v>1873</v>
      </c>
      <c r="Q86" s="615">
        <v>52522148.029882357</v>
      </c>
      <c r="R86" s="589"/>
      <c r="S86" s="589"/>
      <c r="T86" s="589"/>
      <c r="U86" s="589">
        <f>+Q86-R86+S86-T86</f>
        <v>52522148.029882357</v>
      </c>
      <c r="V86" s="590" t="s">
        <v>1874</v>
      </c>
      <c r="W86" s="954">
        <v>243</v>
      </c>
      <c r="X86" s="773" t="s">
        <v>1862</v>
      </c>
      <c r="Y86" s="955">
        <v>293304</v>
      </c>
      <c r="Z86" s="591">
        <v>272744</v>
      </c>
      <c r="AA86" s="591">
        <v>99059</v>
      </c>
      <c r="AB86" s="591">
        <v>36139</v>
      </c>
      <c r="AC86" s="591">
        <v>314186</v>
      </c>
      <c r="AD86" s="591">
        <v>116664</v>
      </c>
      <c r="AE86" s="591">
        <v>3247</v>
      </c>
      <c r="AF86" s="591">
        <v>6804</v>
      </c>
      <c r="AG86" s="591">
        <v>25</v>
      </c>
      <c r="AH86" s="591">
        <v>7</v>
      </c>
      <c r="AI86" s="591">
        <v>0</v>
      </c>
      <c r="AJ86" s="591">
        <v>0</v>
      </c>
      <c r="AK86" s="591">
        <v>50946</v>
      </c>
      <c r="AL86" s="591">
        <v>28554</v>
      </c>
      <c r="AM86" s="591">
        <v>53914</v>
      </c>
      <c r="AN86" s="592">
        <v>566048</v>
      </c>
      <c r="AO86" s="587" t="s">
        <v>1669</v>
      </c>
      <c r="AP86" s="587" t="s">
        <v>1670</v>
      </c>
      <c r="AQ86" s="115" t="s">
        <v>1671</v>
      </c>
    </row>
    <row r="87" spans="1:43" ht="45.75">
      <c r="A87" s="115">
        <v>1</v>
      </c>
      <c r="B87" s="597" t="s">
        <v>513</v>
      </c>
      <c r="C87" s="584">
        <v>19</v>
      </c>
      <c r="D87" s="115" t="s">
        <v>1559</v>
      </c>
      <c r="E87" s="23">
        <v>1906</v>
      </c>
      <c r="F87" s="115" t="s">
        <v>1730</v>
      </c>
      <c r="G87" s="611">
        <v>1906044</v>
      </c>
      <c r="H87" s="456" t="s">
        <v>1781</v>
      </c>
      <c r="I87" s="585">
        <v>190604400</v>
      </c>
      <c r="J87" s="611" t="s">
        <v>1782</v>
      </c>
      <c r="K87" s="618">
        <v>274205</v>
      </c>
      <c r="L87" s="115"/>
      <c r="M87" s="115">
        <f t="shared" si="0"/>
        <v>274205</v>
      </c>
      <c r="N87" s="587" t="s">
        <v>1740</v>
      </c>
      <c r="O87" s="456" t="s">
        <v>1741</v>
      </c>
      <c r="P87" s="456" t="s">
        <v>1875</v>
      </c>
      <c r="Q87" s="615">
        <v>196482183.01831612</v>
      </c>
      <c r="R87" s="589"/>
      <c r="S87" s="589"/>
      <c r="T87" s="589"/>
      <c r="U87" s="589">
        <f>+Q87-R87+S87-T87</f>
        <v>196482183.01831612</v>
      </c>
      <c r="V87" s="590" t="s">
        <v>1876</v>
      </c>
      <c r="W87" s="954">
        <v>243</v>
      </c>
      <c r="X87" s="773" t="s">
        <v>1862</v>
      </c>
      <c r="Y87" s="955">
        <v>293304</v>
      </c>
      <c r="Z87" s="591">
        <v>272744</v>
      </c>
      <c r="AA87" s="591">
        <v>99059</v>
      </c>
      <c r="AB87" s="591">
        <v>36139</v>
      </c>
      <c r="AC87" s="591">
        <v>314186</v>
      </c>
      <c r="AD87" s="591">
        <v>116664</v>
      </c>
      <c r="AE87" s="591">
        <v>3247</v>
      </c>
      <c r="AF87" s="591">
        <v>6804</v>
      </c>
      <c r="AG87" s="591">
        <v>25</v>
      </c>
      <c r="AH87" s="591">
        <v>7</v>
      </c>
      <c r="AI87" s="591">
        <v>0</v>
      </c>
      <c r="AJ87" s="591">
        <v>0</v>
      </c>
      <c r="AK87" s="591">
        <v>50946</v>
      </c>
      <c r="AL87" s="591">
        <v>28554</v>
      </c>
      <c r="AM87" s="591">
        <v>53914</v>
      </c>
      <c r="AN87" s="592">
        <v>566048</v>
      </c>
      <c r="AO87" s="587" t="s">
        <v>1669</v>
      </c>
      <c r="AP87" s="587" t="s">
        <v>1670</v>
      </c>
      <c r="AQ87" s="115" t="s">
        <v>1671</v>
      </c>
    </row>
    <row r="88" spans="1:43" ht="45.75">
      <c r="A88" s="115">
        <v>1</v>
      </c>
      <c r="B88" s="597" t="s">
        <v>513</v>
      </c>
      <c r="C88" s="584">
        <v>19</v>
      </c>
      <c r="D88" s="115" t="s">
        <v>1559</v>
      </c>
      <c r="E88" s="23">
        <v>1906</v>
      </c>
      <c r="F88" s="115" t="s">
        <v>1730</v>
      </c>
      <c r="G88" s="611">
        <v>1906044</v>
      </c>
      <c r="H88" s="456" t="s">
        <v>1781</v>
      </c>
      <c r="I88" s="585">
        <v>190604400</v>
      </c>
      <c r="J88" s="611" t="s">
        <v>1782</v>
      </c>
      <c r="K88" s="618">
        <v>274205</v>
      </c>
      <c r="L88" s="115"/>
      <c r="M88" s="115">
        <f t="shared" si="0"/>
        <v>274205</v>
      </c>
      <c r="N88" s="587" t="s">
        <v>1740</v>
      </c>
      <c r="O88" s="456" t="s">
        <v>1741</v>
      </c>
      <c r="P88" s="456" t="s">
        <v>1877</v>
      </c>
      <c r="Q88" s="615">
        <v>240623699.57483256</v>
      </c>
      <c r="R88" s="589"/>
      <c r="S88" s="589"/>
      <c r="T88" s="589"/>
      <c r="U88" s="589">
        <f>+Q88-R88+S88-T88</f>
        <v>240623699.57483256</v>
      </c>
      <c r="V88" s="590" t="s">
        <v>1878</v>
      </c>
      <c r="W88" s="954">
        <v>243</v>
      </c>
      <c r="X88" s="773" t="s">
        <v>1862</v>
      </c>
      <c r="Y88" s="955">
        <v>293304</v>
      </c>
      <c r="Z88" s="591">
        <v>272744</v>
      </c>
      <c r="AA88" s="591">
        <v>99059</v>
      </c>
      <c r="AB88" s="591">
        <v>36139</v>
      </c>
      <c r="AC88" s="591">
        <v>314186</v>
      </c>
      <c r="AD88" s="591">
        <v>116664</v>
      </c>
      <c r="AE88" s="591">
        <v>3247</v>
      </c>
      <c r="AF88" s="591">
        <v>6804</v>
      </c>
      <c r="AG88" s="591">
        <v>25</v>
      </c>
      <c r="AH88" s="591">
        <v>7</v>
      </c>
      <c r="AI88" s="591">
        <v>0</v>
      </c>
      <c r="AJ88" s="591">
        <v>0</v>
      </c>
      <c r="AK88" s="591">
        <v>50946</v>
      </c>
      <c r="AL88" s="591">
        <v>28554</v>
      </c>
      <c r="AM88" s="591">
        <v>53914</v>
      </c>
      <c r="AN88" s="592">
        <v>566048</v>
      </c>
      <c r="AO88" s="587" t="s">
        <v>1669</v>
      </c>
      <c r="AP88" s="587" t="s">
        <v>1670</v>
      </c>
      <c r="AQ88" s="115" t="s">
        <v>1671</v>
      </c>
    </row>
    <row r="89" spans="1:43" ht="45.75">
      <c r="A89" s="115">
        <v>1</v>
      </c>
      <c r="B89" s="597" t="s">
        <v>513</v>
      </c>
      <c r="C89" s="584">
        <v>19</v>
      </c>
      <c r="D89" s="115" t="s">
        <v>1559</v>
      </c>
      <c r="E89" s="23">
        <v>1906</v>
      </c>
      <c r="F89" s="115" t="s">
        <v>1730</v>
      </c>
      <c r="G89" s="611">
        <v>1906044</v>
      </c>
      <c r="H89" s="456" t="s">
        <v>1781</v>
      </c>
      <c r="I89" s="585">
        <v>190604400</v>
      </c>
      <c r="J89" s="611" t="s">
        <v>1782</v>
      </c>
      <c r="K89" s="618">
        <v>274205</v>
      </c>
      <c r="L89" s="115"/>
      <c r="M89" s="115">
        <f t="shared" si="0"/>
        <v>274205</v>
      </c>
      <c r="N89" s="587" t="s">
        <v>1740</v>
      </c>
      <c r="O89" s="456" t="s">
        <v>1741</v>
      </c>
      <c r="P89" s="456" t="s">
        <v>1879</v>
      </c>
      <c r="Q89" s="615">
        <v>35188076.390000001</v>
      </c>
      <c r="R89" s="589"/>
      <c r="S89" s="589"/>
      <c r="T89" s="589"/>
      <c r="U89" s="589">
        <f>+Q89-R89+S89-T89</f>
        <v>35188076.390000001</v>
      </c>
      <c r="V89" s="590" t="s">
        <v>1880</v>
      </c>
      <c r="W89" s="954">
        <v>243</v>
      </c>
      <c r="X89" s="773" t="s">
        <v>1862</v>
      </c>
      <c r="Y89" s="955">
        <v>293304</v>
      </c>
      <c r="Z89" s="591">
        <v>272744</v>
      </c>
      <c r="AA89" s="591">
        <v>99059</v>
      </c>
      <c r="AB89" s="591">
        <v>36139</v>
      </c>
      <c r="AC89" s="591">
        <v>314186</v>
      </c>
      <c r="AD89" s="591">
        <v>116664</v>
      </c>
      <c r="AE89" s="591">
        <v>3247</v>
      </c>
      <c r="AF89" s="591">
        <v>6804</v>
      </c>
      <c r="AG89" s="591">
        <v>25</v>
      </c>
      <c r="AH89" s="591">
        <v>7</v>
      </c>
      <c r="AI89" s="591">
        <v>0</v>
      </c>
      <c r="AJ89" s="591">
        <v>0</v>
      </c>
      <c r="AK89" s="591">
        <v>50946</v>
      </c>
      <c r="AL89" s="591">
        <v>28554</v>
      </c>
      <c r="AM89" s="591">
        <v>53914</v>
      </c>
      <c r="AN89" s="592">
        <v>566048</v>
      </c>
      <c r="AO89" s="587" t="s">
        <v>1669</v>
      </c>
      <c r="AP89" s="587" t="s">
        <v>1670</v>
      </c>
      <c r="AQ89" s="115" t="s">
        <v>1671</v>
      </c>
    </row>
    <row r="90" spans="1:43" ht="45.75">
      <c r="A90" s="115">
        <v>1</v>
      </c>
      <c r="B90" s="597" t="s">
        <v>513</v>
      </c>
      <c r="C90" s="584">
        <v>19</v>
      </c>
      <c r="D90" s="115" t="s">
        <v>1559</v>
      </c>
      <c r="E90" s="23">
        <v>1906</v>
      </c>
      <c r="F90" s="115" t="s">
        <v>1730</v>
      </c>
      <c r="G90" s="611">
        <v>1906044</v>
      </c>
      <c r="H90" s="456" t="s">
        <v>1781</v>
      </c>
      <c r="I90" s="585">
        <v>190604400</v>
      </c>
      <c r="J90" s="611" t="s">
        <v>1782</v>
      </c>
      <c r="K90" s="618">
        <v>274205</v>
      </c>
      <c r="L90" s="115"/>
      <c r="M90" s="115">
        <f t="shared" si="0"/>
        <v>274205</v>
      </c>
      <c r="N90" s="587" t="s">
        <v>1740</v>
      </c>
      <c r="O90" s="456" t="s">
        <v>1741</v>
      </c>
      <c r="P90" s="456" t="s">
        <v>1881</v>
      </c>
      <c r="Q90" s="615">
        <v>187405368.74471298</v>
      </c>
      <c r="R90" s="589"/>
      <c r="S90" s="589"/>
      <c r="T90" s="589"/>
      <c r="U90" s="589">
        <f>+Q90-R90+S90-T90</f>
        <v>187405368.74471298</v>
      </c>
      <c r="V90" s="590" t="s">
        <v>1882</v>
      </c>
      <c r="W90" s="954">
        <v>243</v>
      </c>
      <c r="X90" s="773" t="s">
        <v>1862</v>
      </c>
      <c r="Y90" s="955">
        <v>293304</v>
      </c>
      <c r="Z90" s="591">
        <v>272744</v>
      </c>
      <c r="AA90" s="591">
        <v>99059</v>
      </c>
      <c r="AB90" s="591">
        <v>36139</v>
      </c>
      <c r="AC90" s="591">
        <v>314186</v>
      </c>
      <c r="AD90" s="591">
        <v>116664</v>
      </c>
      <c r="AE90" s="591">
        <v>3247</v>
      </c>
      <c r="AF90" s="591">
        <v>6804</v>
      </c>
      <c r="AG90" s="591">
        <v>25</v>
      </c>
      <c r="AH90" s="591">
        <v>7</v>
      </c>
      <c r="AI90" s="591">
        <v>0</v>
      </c>
      <c r="AJ90" s="591">
        <v>0</v>
      </c>
      <c r="AK90" s="591">
        <v>50946</v>
      </c>
      <c r="AL90" s="591">
        <v>28554</v>
      </c>
      <c r="AM90" s="591">
        <v>53914</v>
      </c>
      <c r="AN90" s="592">
        <v>566048</v>
      </c>
      <c r="AO90" s="587" t="s">
        <v>1669</v>
      </c>
      <c r="AP90" s="587" t="s">
        <v>1670</v>
      </c>
      <c r="AQ90" s="115" t="s">
        <v>1671</v>
      </c>
    </row>
    <row r="91" spans="1:43" ht="45.75">
      <c r="A91" s="115">
        <v>1</v>
      </c>
      <c r="B91" s="597" t="s">
        <v>513</v>
      </c>
      <c r="C91" s="584">
        <v>19</v>
      </c>
      <c r="D91" s="115" t="s">
        <v>1559</v>
      </c>
      <c r="E91" s="23">
        <v>1906</v>
      </c>
      <c r="F91" s="115" t="s">
        <v>1730</v>
      </c>
      <c r="G91" s="611">
        <v>1906044</v>
      </c>
      <c r="H91" s="456" t="s">
        <v>1781</v>
      </c>
      <c r="I91" s="585">
        <v>190604400</v>
      </c>
      <c r="J91" s="611" t="s">
        <v>1782</v>
      </c>
      <c r="K91" s="618">
        <v>274205</v>
      </c>
      <c r="L91" s="115"/>
      <c r="M91" s="115">
        <f t="shared" si="0"/>
        <v>274205</v>
      </c>
      <c r="N91" s="587" t="s">
        <v>1740</v>
      </c>
      <c r="O91" s="456" t="s">
        <v>1741</v>
      </c>
      <c r="P91" s="456" t="s">
        <v>1883</v>
      </c>
      <c r="Q91" s="615">
        <v>31240103.036216453</v>
      </c>
      <c r="R91" s="589"/>
      <c r="S91" s="589"/>
      <c r="T91" s="589"/>
      <c r="U91" s="589">
        <f>+Q91-R91+S91-T91</f>
        <v>31240103.036216453</v>
      </c>
      <c r="V91" s="590" t="s">
        <v>1884</v>
      </c>
      <c r="W91" s="954">
        <v>243</v>
      </c>
      <c r="X91" s="773" t="s">
        <v>1862</v>
      </c>
      <c r="Y91" s="955">
        <v>293304</v>
      </c>
      <c r="Z91" s="591">
        <v>272744</v>
      </c>
      <c r="AA91" s="591">
        <v>99059</v>
      </c>
      <c r="AB91" s="591">
        <v>36139</v>
      </c>
      <c r="AC91" s="591">
        <v>314186</v>
      </c>
      <c r="AD91" s="591">
        <v>116664</v>
      </c>
      <c r="AE91" s="591">
        <v>3247</v>
      </c>
      <c r="AF91" s="591">
        <v>6804</v>
      </c>
      <c r="AG91" s="591">
        <v>25</v>
      </c>
      <c r="AH91" s="591">
        <v>7</v>
      </c>
      <c r="AI91" s="591">
        <v>0</v>
      </c>
      <c r="AJ91" s="591">
        <v>0</v>
      </c>
      <c r="AK91" s="591">
        <v>50946</v>
      </c>
      <c r="AL91" s="591">
        <v>28554</v>
      </c>
      <c r="AM91" s="591">
        <v>53914</v>
      </c>
      <c r="AN91" s="592">
        <v>566048</v>
      </c>
      <c r="AO91" s="587" t="s">
        <v>1669</v>
      </c>
      <c r="AP91" s="587" t="s">
        <v>1670</v>
      </c>
      <c r="AQ91" s="115" t="s">
        <v>1671</v>
      </c>
    </row>
    <row r="92" spans="1:43" ht="45.75">
      <c r="A92" s="115">
        <v>1</v>
      </c>
      <c r="B92" s="597" t="s">
        <v>513</v>
      </c>
      <c r="C92" s="584">
        <v>19</v>
      </c>
      <c r="D92" s="115" t="s">
        <v>1559</v>
      </c>
      <c r="E92" s="23">
        <v>1906</v>
      </c>
      <c r="F92" s="115" t="s">
        <v>1730</v>
      </c>
      <c r="G92" s="611">
        <v>1906044</v>
      </c>
      <c r="H92" s="456" t="s">
        <v>1781</v>
      </c>
      <c r="I92" s="585">
        <v>190604400</v>
      </c>
      <c r="J92" s="611" t="s">
        <v>1782</v>
      </c>
      <c r="K92" s="618">
        <v>274205</v>
      </c>
      <c r="L92" s="115"/>
      <c r="M92" s="115">
        <f t="shared" si="0"/>
        <v>274205</v>
      </c>
      <c r="N92" s="587" t="s">
        <v>1740</v>
      </c>
      <c r="O92" s="456" t="s">
        <v>1741</v>
      </c>
      <c r="P92" s="456" t="s">
        <v>1885</v>
      </c>
      <c r="Q92" s="615">
        <v>562563043.02593899</v>
      </c>
      <c r="R92" s="589"/>
      <c r="S92" s="589"/>
      <c r="T92" s="589"/>
      <c r="U92" s="589">
        <f>+Q92-R92+S92-T92</f>
        <v>562563043.02593899</v>
      </c>
      <c r="V92" s="590" t="s">
        <v>1886</v>
      </c>
      <c r="W92" s="954">
        <v>246</v>
      </c>
      <c r="X92" s="773" t="s">
        <v>1887</v>
      </c>
      <c r="Y92" s="955">
        <v>293304</v>
      </c>
      <c r="Z92" s="591">
        <v>272744</v>
      </c>
      <c r="AA92" s="591">
        <v>99059</v>
      </c>
      <c r="AB92" s="591">
        <v>36139</v>
      </c>
      <c r="AC92" s="591">
        <v>314186</v>
      </c>
      <c r="AD92" s="591">
        <v>116664</v>
      </c>
      <c r="AE92" s="591">
        <v>3247</v>
      </c>
      <c r="AF92" s="591">
        <v>6804</v>
      </c>
      <c r="AG92" s="591">
        <v>25</v>
      </c>
      <c r="AH92" s="591">
        <v>7</v>
      </c>
      <c r="AI92" s="591">
        <v>0</v>
      </c>
      <c r="AJ92" s="591">
        <v>0</v>
      </c>
      <c r="AK92" s="591">
        <v>50946</v>
      </c>
      <c r="AL92" s="591">
        <v>28554</v>
      </c>
      <c r="AM92" s="591">
        <v>53914</v>
      </c>
      <c r="AN92" s="592">
        <v>566048</v>
      </c>
      <c r="AO92" s="587" t="s">
        <v>1669</v>
      </c>
      <c r="AP92" s="587" t="s">
        <v>1670</v>
      </c>
      <c r="AQ92" s="115" t="s">
        <v>1671</v>
      </c>
    </row>
    <row r="93" spans="1:43" ht="45.75">
      <c r="A93" s="115">
        <v>1</v>
      </c>
      <c r="B93" s="597" t="s">
        <v>513</v>
      </c>
      <c r="C93" s="584">
        <v>19</v>
      </c>
      <c r="D93" s="115" t="s">
        <v>1559</v>
      </c>
      <c r="E93" s="23">
        <v>1906</v>
      </c>
      <c r="F93" s="115" t="s">
        <v>1730</v>
      </c>
      <c r="G93" s="611">
        <v>1906044</v>
      </c>
      <c r="H93" s="456" t="s">
        <v>1781</v>
      </c>
      <c r="I93" s="585">
        <v>190604400</v>
      </c>
      <c r="J93" s="611" t="s">
        <v>1782</v>
      </c>
      <c r="K93" s="618">
        <v>274205</v>
      </c>
      <c r="L93" s="115"/>
      <c r="M93" s="115">
        <f t="shared" si="0"/>
        <v>274205</v>
      </c>
      <c r="N93" s="587" t="s">
        <v>1740</v>
      </c>
      <c r="O93" s="456" t="s">
        <v>1741</v>
      </c>
      <c r="P93" s="456" t="s">
        <v>1888</v>
      </c>
      <c r="Q93" s="615">
        <v>7947755.3108903039</v>
      </c>
      <c r="R93" s="589"/>
      <c r="S93" s="589"/>
      <c r="T93" s="589"/>
      <c r="U93" s="589">
        <f>+Q93-R93+S93-T93</f>
        <v>7947755.3108903039</v>
      </c>
      <c r="V93" s="590" t="s">
        <v>1889</v>
      </c>
      <c r="W93" s="954">
        <v>246</v>
      </c>
      <c r="X93" s="773" t="s">
        <v>1887</v>
      </c>
      <c r="Y93" s="955">
        <v>293304</v>
      </c>
      <c r="Z93" s="591">
        <v>272744</v>
      </c>
      <c r="AA93" s="591">
        <v>99059</v>
      </c>
      <c r="AB93" s="591">
        <v>36139</v>
      </c>
      <c r="AC93" s="591">
        <v>314186</v>
      </c>
      <c r="AD93" s="591">
        <v>116664</v>
      </c>
      <c r="AE93" s="591">
        <v>3247</v>
      </c>
      <c r="AF93" s="591">
        <v>6804</v>
      </c>
      <c r="AG93" s="591">
        <v>25</v>
      </c>
      <c r="AH93" s="591">
        <v>7</v>
      </c>
      <c r="AI93" s="591">
        <v>0</v>
      </c>
      <c r="AJ93" s="591">
        <v>0</v>
      </c>
      <c r="AK93" s="591">
        <v>50946</v>
      </c>
      <c r="AL93" s="591">
        <v>28554</v>
      </c>
      <c r="AM93" s="591">
        <v>53914</v>
      </c>
      <c r="AN93" s="592">
        <v>566048</v>
      </c>
      <c r="AO93" s="587" t="s">
        <v>1669</v>
      </c>
      <c r="AP93" s="587" t="s">
        <v>1670</v>
      </c>
      <c r="AQ93" s="115" t="s">
        <v>1671</v>
      </c>
    </row>
    <row r="94" spans="1:43" ht="45.75">
      <c r="A94" s="115">
        <v>1</v>
      </c>
      <c r="B94" s="597" t="s">
        <v>513</v>
      </c>
      <c r="C94" s="584">
        <v>19</v>
      </c>
      <c r="D94" s="115" t="s">
        <v>1559</v>
      </c>
      <c r="E94" s="23">
        <v>1906</v>
      </c>
      <c r="F94" s="115" t="s">
        <v>1730</v>
      </c>
      <c r="G94" s="611">
        <v>1906044</v>
      </c>
      <c r="H94" s="456" t="s">
        <v>1781</v>
      </c>
      <c r="I94" s="585">
        <v>190604400</v>
      </c>
      <c r="J94" s="611" t="s">
        <v>1782</v>
      </c>
      <c r="K94" s="618">
        <v>274205</v>
      </c>
      <c r="L94" s="115"/>
      <c r="M94" s="115">
        <f t="shared" si="0"/>
        <v>274205</v>
      </c>
      <c r="N94" s="587" t="s">
        <v>1740</v>
      </c>
      <c r="O94" s="456" t="s">
        <v>1741</v>
      </c>
      <c r="P94" s="456" t="s">
        <v>1890</v>
      </c>
      <c r="Q94" s="615">
        <v>148381249.36629397</v>
      </c>
      <c r="R94" s="589"/>
      <c r="S94" s="589"/>
      <c r="T94" s="589"/>
      <c r="U94" s="589">
        <f>+Q94-R94+S94-T94</f>
        <v>148381249.36629397</v>
      </c>
      <c r="V94" s="590" t="s">
        <v>1891</v>
      </c>
      <c r="W94" s="954">
        <v>246</v>
      </c>
      <c r="X94" s="773" t="s">
        <v>1887</v>
      </c>
      <c r="Y94" s="955">
        <v>293304</v>
      </c>
      <c r="Z94" s="591">
        <v>272744</v>
      </c>
      <c r="AA94" s="591">
        <v>99059</v>
      </c>
      <c r="AB94" s="591">
        <v>36139</v>
      </c>
      <c r="AC94" s="591">
        <v>314186</v>
      </c>
      <c r="AD94" s="591">
        <v>116664</v>
      </c>
      <c r="AE94" s="591">
        <v>3247</v>
      </c>
      <c r="AF94" s="591">
        <v>6804</v>
      </c>
      <c r="AG94" s="591">
        <v>25</v>
      </c>
      <c r="AH94" s="591">
        <v>7</v>
      </c>
      <c r="AI94" s="591">
        <v>0</v>
      </c>
      <c r="AJ94" s="591">
        <v>0</v>
      </c>
      <c r="AK94" s="591">
        <v>50946</v>
      </c>
      <c r="AL94" s="591">
        <v>28554</v>
      </c>
      <c r="AM94" s="591">
        <v>53914</v>
      </c>
      <c r="AN94" s="592">
        <v>566048</v>
      </c>
      <c r="AO94" s="587" t="s">
        <v>1669</v>
      </c>
      <c r="AP94" s="587" t="s">
        <v>1670</v>
      </c>
      <c r="AQ94" s="115" t="s">
        <v>1671</v>
      </c>
    </row>
    <row r="95" spans="1:43" ht="45.75">
      <c r="A95" s="115">
        <v>1</v>
      </c>
      <c r="B95" s="597" t="s">
        <v>513</v>
      </c>
      <c r="C95" s="584">
        <v>19</v>
      </c>
      <c r="D95" s="115" t="s">
        <v>1559</v>
      </c>
      <c r="E95" s="23">
        <v>1906</v>
      </c>
      <c r="F95" s="115" t="s">
        <v>1730</v>
      </c>
      <c r="G95" s="611">
        <v>1906044</v>
      </c>
      <c r="H95" s="456" t="s">
        <v>1781</v>
      </c>
      <c r="I95" s="585">
        <v>190604400</v>
      </c>
      <c r="J95" s="611" t="s">
        <v>1782</v>
      </c>
      <c r="K95" s="618">
        <v>274205</v>
      </c>
      <c r="L95" s="115"/>
      <c r="M95" s="115">
        <f t="shared" si="0"/>
        <v>274205</v>
      </c>
      <c r="N95" s="587" t="s">
        <v>1740</v>
      </c>
      <c r="O95" s="456" t="s">
        <v>1741</v>
      </c>
      <c r="P95" s="456" t="s">
        <v>1892</v>
      </c>
      <c r="Q95" s="615">
        <v>62249458.738910891</v>
      </c>
      <c r="R95" s="589"/>
      <c r="S95" s="589"/>
      <c r="T95" s="589"/>
      <c r="U95" s="589">
        <f>+Q95-R95+S95-T95</f>
        <v>62249458.738910891</v>
      </c>
      <c r="V95" s="590" t="s">
        <v>1893</v>
      </c>
      <c r="W95" s="954">
        <v>246</v>
      </c>
      <c r="X95" s="773" t="s">
        <v>1887</v>
      </c>
      <c r="Y95" s="955">
        <v>293304</v>
      </c>
      <c r="Z95" s="591">
        <v>272744</v>
      </c>
      <c r="AA95" s="591">
        <v>99059</v>
      </c>
      <c r="AB95" s="591">
        <v>36139</v>
      </c>
      <c r="AC95" s="591">
        <v>314186</v>
      </c>
      <c r="AD95" s="591">
        <v>116664</v>
      </c>
      <c r="AE95" s="591">
        <v>3247</v>
      </c>
      <c r="AF95" s="591">
        <v>6804</v>
      </c>
      <c r="AG95" s="591">
        <v>25</v>
      </c>
      <c r="AH95" s="591">
        <v>7</v>
      </c>
      <c r="AI95" s="591">
        <v>0</v>
      </c>
      <c r="AJ95" s="591">
        <v>0</v>
      </c>
      <c r="AK95" s="591">
        <v>50946</v>
      </c>
      <c r="AL95" s="591">
        <v>28554</v>
      </c>
      <c r="AM95" s="591">
        <v>53914</v>
      </c>
      <c r="AN95" s="592">
        <v>566048</v>
      </c>
      <c r="AO95" s="587" t="s">
        <v>1669</v>
      </c>
      <c r="AP95" s="587" t="s">
        <v>1670</v>
      </c>
      <c r="AQ95" s="115" t="s">
        <v>1671</v>
      </c>
    </row>
    <row r="96" spans="1:43" ht="45.75">
      <c r="A96" s="115">
        <v>1</v>
      </c>
      <c r="B96" s="597" t="s">
        <v>513</v>
      </c>
      <c r="C96" s="584">
        <v>19</v>
      </c>
      <c r="D96" s="115" t="s">
        <v>1559</v>
      </c>
      <c r="E96" s="23">
        <v>1906</v>
      </c>
      <c r="F96" s="115" t="s">
        <v>1730</v>
      </c>
      <c r="G96" s="611">
        <v>1906044</v>
      </c>
      <c r="H96" s="456" t="s">
        <v>1781</v>
      </c>
      <c r="I96" s="585">
        <v>190604400</v>
      </c>
      <c r="J96" s="611" t="s">
        <v>1782</v>
      </c>
      <c r="K96" s="618">
        <v>274205</v>
      </c>
      <c r="L96" s="115"/>
      <c r="M96" s="115">
        <f t="shared" si="0"/>
        <v>274205</v>
      </c>
      <c r="N96" s="587" t="s">
        <v>1740</v>
      </c>
      <c r="O96" s="456" t="s">
        <v>1741</v>
      </c>
      <c r="P96" s="456" t="s">
        <v>1894</v>
      </c>
      <c r="Q96" s="615">
        <v>17510237.533473004</v>
      </c>
      <c r="R96" s="589"/>
      <c r="S96" s="589"/>
      <c r="T96" s="589"/>
      <c r="U96" s="589">
        <f>+Q96-R96+S96-T96</f>
        <v>17510237.533473004</v>
      </c>
      <c r="V96" s="590" t="s">
        <v>1895</v>
      </c>
      <c r="W96" s="954">
        <v>246</v>
      </c>
      <c r="X96" s="773" t="s">
        <v>1887</v>
      </c>
      <c r="Y96" s="955">
        <v>293304</v>
      </c>
      <c r="Z96" s="591">
        <v>272744</v>
      </c>
      <c r="AA96" s="591">
        <v>99059</v>
      </c>
      <c r="AB96" s="591">
        <v>36139</v>
      </c>
      <c r="AC96" s="591">
        <v>314186</v>
      </c>
      <c r="AD96" s="591">
        <v>116664</v>
      </c>
      <c r="AE96" s="591">
        <v>3247</v>
      </c>
      <c r="AF96" s="591">
        <v>6804</v>
      </c>
      <c r="AG96" s="591">
        <v>25</v>
      </c>
      <c r="AH96" s="591">
        <v>7</v>
      </c>
      <c r="AI96" s="591">
        <v>0</v>
      </c>
      <c r="AJ96" s="591">
        <v>0</v>
      </c>
      <c r="AK96" s="591">
        <v>50946</v>
      </c>
      <c r="AL96" s="591">
        <v>28554</v>
      </c>
      <c r="AM96" s="591">
        <v>53914</v>
      </c>
      <c r="AN96" s="592">
        <v>566048</v>
      </c>
      <c r="AO96" s="587" t="s">
        <v>1669</v>
      </c>
      <c r="AP96" s="587" t="s">
        <v>1670</v>
      </c>
      <c r="AQ96" s="115" t="s">
        <v>1671</v>
      </c>
    </row>
    <row r="97" spans="1:43" ht="45.75">
      <c r="A97" s="115">
        <v>1</v>
      </c>
      <c r="B97" s="597" t="s">
        <v>513</v>
      </c>
      <c r="C97" s="584">
        <v>19</v>
      </c>
      <c r="D97" s="115" t="s">
        <v>1559</v>
      </c>
      <c r="E97" s="23">
        <v>1906</v>
      </c>
      <c r="F97" s="115" t="s">
        <v>1730</v>
      </c>
      <c r="G97" s="611">
        <v>1906044</v>
      </c>
      <c r="H97" s="456" t="s">
        <v>1781</v>
      </c>
      <c r="I97" s="585">
        <v>190604400</v>
      </c>
      <c r="J97" s="611" t="s">
        <v>1782</v>
      </c>
      <c r="K97" s="618">
        <v>274205</v>
      </c>
      <c r="L97" s="115"/>
      <c r="M97" s="115">
        <f t="shared" si="0"/>
        <v>274205</v>
      </c>
      <c r="N97" s="587" t="s">
        <v>1740</v>
      </c>
      <c r="O97" s="456" t="s">
        <v>1741</v>
      </c>
      <c r="P97" s="456" t="s">
        <v>1896</v>
      </c>
      <c r="Q97" s="615">
        <v>32524593.422260735</v>
      </c>
      <c r="R97" s="589"/>
      <c r="S97" s="589"/>
      <c r="T97" s="589"/>
      <c r="U97" s="589">
        <f>+Q97-R97+S97-T97</f>
        <v>32524593.422260735</v>
      </c>
      <c r="V97" s="590" t="s">
        <v>1897</v>
      </c>
      <c r="W97" s="954">
        <v>246</v>
      </c>
      <c r="X97" s="773" t="s">
        <v>1887</v>
      </c>
      <c r="Y97" s="955">
        <v>293304</v>
      </c>
      <c r="Z97" s="591">
        <v>272744</v>
      </c>
      <c r="AA97" s="591">
        <v>99059</v>
      </c>
      <c r="AB97" s="591">
        <v>36139</v>
      </c>
      <c r="AC97" s="591">
        <v>314186</v>
      </c>
      <c r="AD97" s="591">
        <v>116664</v>
      </c>
      <c r="AE97" s="591">
        <v>3247</v>
      </c>
      <c r="AF97" s="591">
        <v>6804</v>
      </c>
      <c r="AG97" s="591">
        <v>25</v>
      </c>
      <c r="AH97" s="591">
        <v>7</v>
      </c>
      <c r="AI97" s="591">
        <v>0</v>
      </c>
      <c r="AJ97" s="591">
        <v>0</v>
      </c>
      <c r="AK97" s="591">
        <v>50946</v>
      </c>
      <c r="AL97" s="591">
        <v>28554</v>
      </c>
      <c r="AM97" s="591">
        <v>53914</v>
      </c>
      <c r="AN97" s="592">
        <v>566048</v>
      </c>
      <c r="AO97" s="587" t="s">
        <v>1669</v>
      </c>
      <c r="AP97" s="587" t="s">
        <v>1670</v>
      </c>
      <c r="AQ97" s="115" t="s">
        <v>1671</v>
      </c>
    </row>
    <row r="98" spans="1:43" ht="45.75">
      <c r="A98" s="115">
        <v>1</v>
      </c>
      <c r="B98" s="597" t="s">
        <v>513</v>
      </c>
      <c r="C98" s="584">
        <v>19</v>
      </c>
      <c r="D98" s="115" t="s">
        <v>1559</v>
      </c>
      <c r="E98" s="23">
        <v>1906</v>
      </c>
      <c r="F98" s="115" t="s">
        <v>1730</v>
      </c>
      <c r="G98" s="611">
        <v>1906044</v>
      </c>
      <c r="H98" s="456" t="s">
        <v>1781</v>
      </c>
      <c r="I98" s="585">
        <v>190604400</v>
      </c>
      <c r="J98" s="611" t="s">
        <v>1782</v>
      </c>
      <c r="K98" s="618">
        <v>274205</v>
      </c>
      <c r="L98" s="115"/>
      <c r="M98" s="115">
        <f t="shared" si="0"/>
        <v>274205</v>
      </c>
      <c r="N98" s="587" t="s">
        <v>1740</v>
      </c>
      <c r="O98" s="456" t="s">
        <v>1741</v>
      </c>
      <c r="P98" s="456" t="s">
        <v>1898</v>
      </c>
      <c r="Q98" s="615">
        <v>25870355.903779596</v>
      </c>
      <c r="R98" s="589"/>
      <c r="S98" s="589"/>
      <c r="T98" s="589"/>
      <c r="U98" s="589">
        <f>+Q98-R98+S98-T98</f>
        <v>25870355.903779596</v>
      </c>
      <c r="V98" s="590" t="s">
        <v>1899</v>
      </c>
      <c r="W98" s="954">
        <v>246</v>
      </c>
      <c r="X98" s="773" t="s">
        <v>1887</v>
      </c>
      <c r="Y98" s="955">
        <v>293304</v>
      </c>
      <c r="Z98" s="591">
        <v>272744</v>
      </c>
      <c r="AA98" s="591">
        <v>99059</v>
      </c>
      <c r="AB98" s="591">
        <v>36139</v>
      </c>
      <c r="AC98" s="591">
        <v>314186</v>
      </c>
      <c r="AD98" s="591">
        <v>116664</v>
      </c>
      <c r="AE98" s="591">
        <v>3247</v>
      </c>
      <c r="AF98" s="591">
        <v>6804</v>
      </c>
      <c r="AG98" s="591">
        <v>25</v>
      </c>
      <c r="AH98" s="591">
        <v>7</v>
      </c>
      <c r="AI98" s="591">
        <v>0</v>
      </c>
      <c r="AJ98" s="591">
        <v>0</v>
      </c>
      <c r="AK98" s="591">
        <v>50946</v>
      </c>
      <c r="AL98" s="591">
        <v>28554</v>
      </c>
      <c r="AM98" s="591">
        <v>53914</v>
      </c>
      <c r="AN98" s="592">
        <v>566048</v>
      </c>
      <c r="AO98" s="587" t="s">
        <v>1669</v>
      </c>
      <c r="AP98" s="587" t="s">
        <v>1670</v>
      </c>
      <c r="AQ98" s="115" t="s">
        <v>1671</v>
      </c>
    </row>
    <row r="99" spans="1:43" ht="45.75">
      <c r="A99" s="115">
        <v>1</v>
      </c>
      <c r="B99" s="597" t="s">
        <v>513</v>
      </c>
      <c r="C99" s="584">
        <v>19</v>
      </c>
      <c r="D99" s="115" t="s">
        <v>1559</v>
      </c>
      <c r="E99" s="23">
        <v>1906</v>
      </c>
      <c r="F99" s="115" t="s">
        <v>1730</v>
      </c>
      <c r="G99" s="611">
        <v>1906044</v>
      </c>
      <c r="H99" s="456" t="s">
        <v>1781</v>
      </c>
      <c r="I99" s="585">
        <v>190604400</v>
      </c>
      <c r="J99" s="611" t="s">
        <v>1782</v>
      </c>
      <c r="K99" s="618">
        <v>274205</v>
      </c>
      <c r="L99" s="115"/>
      <c r="M99" s="115">
        <f t="shared" si="0"/>
        <v>274205</v>
      </c>
      <c r="N99" s="587" t="s">
        <v>1740</v>
      </c>
      <c r="O99" s="456" t="s">
        <v>1741</v>
      </c>
      <c r="P99" s="456" t="s">
        <v>1900</v>
      </c>
      <c r="Q99" s="615">
        <v>96779438.797747001</v>
      </c>
      <c r="R99" s="589"/>
      <c r="S99" s="589"/>
      <c r="T99" s="589"/>
      <c r="U99" s="589">
        <f>+Q99-R99+S99-T99</f>
        <v>96779438.797747001</v>
      </c>
      <c r="V99" s="590" t="s">
        <v>1901</v>
      </c>
      <c r="W99" s="954">
        <v>246</v>
      </c>
      <c r="X99" s="773" t="s">
        <v>1887</v>
      </c>
      <c r="Y99" s="955">
        <v>293304</v>
      </c>
      <c r="Z99" s="591">
        <v>272744</v>
      </c>
      <c r="AA99" s="591">
        <v>99059</v>
      </c>
      <c r="AB99" s="591">
        <v>36139</v>
      </c>
      <c r="AC99" s="591">
        <v>314186</v>
      </c>
      <c r="AD99" s="591">
        <v>116664</v>
      </c>
      <c r="AE99" s="591">
        <v>3247</v>
      </c>
      <c r="AF99" s="591">
        <v>6804</v>
      </c>
      <c r="AG99" s="591">
        <v>25</v>
      </c>
      <c r="AH99" s="591">
        <v>7</v>
      </c>
      <c r="AI99" s="591">
        <v>0</v>
      </c>
      <c r="AJ99" s="591">
        <v>0</v>
      </c>
      <c r="AK99" s="591">
        <v>50946</v>
      </c>
      <c r="AL99" s="591">
        <v>28554</v>
      </c>
      <c r="AM99" s="591">
        <v>53914</v>
      </c>
      <c r="AN99" s="592">
        <v>566048</v>
      </c>
      <c r="AO99" s="587" t="s">
        <v>1669</v>
      </c>
      <c r="AP99" s="587" t="s">
        <v>1670</v>
      </c>
      <c r="AQ99" s="115" t="s">
        <v>1671</v>
      </c>
    </row>
    <row r="100" spans="1:43" ht="45.75">
      <c r="A100" s="115">
        <v>1</v>
      </c>
      <c r="B100" s="597" t="s">
        <v>513</v>
      </c>
      <c r="C100" s="584">
        <v>19</v>
      </c>
      <c r="D100" s="115" t="s">
        <v>1559</v>
      </c>
      <c r="E100" s="23">
        <v>1906</v>
      </c>
      <c r="F100" s="115" t="s">
        <v>1730</v>
      </c>
      <c r="G100" s="611">
        <v>1906044</v>
      </c>
      <c r="H100" s="456" t="s">
        <v>1781</v>
      </c>
      <c r="I100" s="585">
        <v>190604400</v>
      </c>
      <c r="J100" s="611" t="s">
        <v>1782</v>
      </c>
      <c r="K100" s="618">
        <v>274205</v>
      </c>
      <c r="L100" s="115"/>
      <c r="M100" s="115">
        <f t="shared" si="0"/>
        <v>274205</v>
      </c>
      <c r="N100" s="587" t="s">
        <v>1740</v>
      </c>
      <c r="O100" s="456" t="s">
        <v>1741</v>
      </c>
      <c r="P100" s="456" t="s">
        <v>1902</v>
      </c>
      <c r="Q100" s="615">
        <v>118521823.48679318</v>
      </c>
      <c r="R100" s="589"/>
      <c r="S100" s="589"/>
      <c r="T100" s="589"/>
      <c r="U100" s="589">
        <f>+Q100-R100+S100-T100</f>
        <v>118521823.48679318</v>
      </c>
      <c r="V100" s="590" t="s">
        <v>1903</v>
      </c>
      <c r="W100" s="954">
        <v>246</v>
      </c>
      <c r="X100" s="773" t="s">
        <v>1887</v>
      </c>
      <c r="Y100" s="955">
        <v>293304</v>
      </c>
      <c r="Z100" s="591">
        <v>272744</v>
      </c>
      <c r="AA100" s="591">
        <v>99059</v>
      </c>
      <c r="AB100" s="591">
        <v>36139</v>
      </c>
      <c r="AC100" s="591">
        <v>314186</v>
      </c>
      <c r="AD100" s="591">
        <v>116664</v>
      </c>
      <c r="AE100" s="591">
        <v>3247</v>
      </c>
      <c r="AF100" s="591">
        <v>6804</v>
      </c>
      <c r="AG100" s="591">
        <v>25</v>
      </c>
      <c r="AH100" s="591">
        <v>7</v>
      </c>
      <c r="AI100" s="591">
        <v>0</v>
      </c>
      <c r="AJ100" s="591">
        <v>0</v>
      </c>
      <c r="AK100" s="591">
        <v>50946</v>
      </c>
      <c r="AL100" s="591">
        <v>28554</v>
      </c>
      <c r="AM100" s="591">
        <v>53914</v>
      </c>
      <c r="AN100" s="592">
        <v>566048</v>
      </c>
      <c r="AO100" s="587" t="s">
        <v>1669</v>
      </c>
      <c r="AP100" s="587" t="s">
        <v>1670</v>
      </c>
      <c r="AQ100" s="115" t="s">
        <v>1671</v>
      </c>
    </row>
    <row r="101" spans="1:43" ht="45.75">
      <c r="A101" s="115">
        <v>1</v>
      </c>
      <c r="B101" s="597" t="s">
        <v>513</v>
      </c>
      <c r="C101" s="584">
        <v>19</v>
      </c>
      <c r="D101" s="115" t="s">
        <v>1559</v>
      </c>
      <c r="E101" s="23">
        <v>1906</v>
      </c>
      <c r="F101" s="115" t="s">
        <v>1730</v>
      </c>
      <c r="G101" s="611">
        <v>1906044</v>
      </c>
      <c r="H101" s="456" t="s">
        <v>1781</v>
      </c>
      <c r="I101" s="585">
        <v>190604400</v>
      </c>
      <c r="J101" s="611" t="s">
        <v>1782</v>
      </c>
      <c r="K101" s="618">
        <v>274205</v>
      </c>
      <c r="L101" s="115"/>
      <c r="M101" s="115">
        <f t="shared" si="0"/>
        <v>274205</v>
      </c>
      <c r="N101" s="587" t="s">
        <v>1740</v>
      </c>
      <c r="O101" s="456" t="s">
        <v>1741</v>
      </c>
      <c r="P101" s="456" t="s">
        <v>1904</v>
      </c>
      <c r="Q101" s="615">
        <v>17332270.320112333</v>
      </c>
      <c r="R101" s="589"/>
      <c r="S101" s="589"/>
      <c r="T101" s="589"/>
      <c r="U101" s="589">
        <f>+Q101-R101+S101-T101</f>
        <v>17332270.320112333</v>
      </c>
      <c r="V101" s="590" t="s">
        <v>1905</v>
      </c>
      <c r="W101" s="954">
        <v>246</v>
      </c>
      <c r="X101" s="773" t="s">
        <v>1887</v>
      </c>
      <c r="Y101" s="955">
        <v>293304</v>
      </c>
      <c r="Z101" s="591">
        <v>272744</v>
      </c>
      <c r="AA101" s="591">
        <v>99059</v>
      </c>
      <c r="AB101" s="591">
        <v>36139</v>
      </c>
      <c r="AC101" s="591">
        <v>314186</v>
      </c>
      <c r="AD101" s="591">
        <v>116664</v>
      </c>
      <c r="AE101" s="591">
        <v>3247</v>
      </c>
      <c r="AF101" s="591">
        <v>6804</v>
      </c>
      <c r="AG101" s="591">
        <v>25</v>
      </c>
      <c r="AH101" s="591">
        <v>7</v>
      </c>
      <c r="AI101" s="591">
        <v>0</v>
      </c>
      <c r="AJ101" s="591">
        <v>0</v>
      </c>
      <c r="AK101" s="591">
        <v>50946</v>
      </c>
      <c r="AL101" s="591">
        <v>28554</v>
      </c>
      <c r="AM101" s="591">
        <v>53914</v>
      </c>
      <c r="AN101" s="592">
        <v>566048</v>
      </c>
      <c r="AO101" s="587" t="s">
        <v>1669</v>
      </c>
      <c r="AP101" s="587" t="s">
        <v>1670</v>
      </c>
      <c r="AQ101" s="115" t="s">
        <v>1671</v>
      </c>
    </row>
    <row r="102" spans="1:43" ht="45.75">
      <c r="A102" s="115">
        <v>1</v>
      </c>
      <c r="B102" s="597" t="s">
        <v>513</v>
      </c>
      <c r="C102" s="584">
        <v>19</v>
      </c>
      <c r="D102" s="115" t="s">
        <v>1559</v>
      </c>
      <c r="E102" s="23">
        <v>1906</v>
      </c>
      <c r="F102" s="115" t="s">
        <v>1730</v>
      </c>
      <c r="G102" s="611">
        <v>1906044</v>
      </c>
      <c r="H102" s="456" t="s">
        <v>1781</v>
      </c>
      <c r="I102" s="585">
        <v>190604400</v>
      </c>
      <c r="J102" s="611" t="s">
        <v>1782</v>
      </c>
      <c r="K102" s="618">
        <v>274205</v>
      </c>
      <c r="L102" s="115"/>
      <c r="M102" s="115">
        <f t="shared" si="0"/>
        <v>274205</v>
      </c>
      <c r="N102" s="587" t="s">
        <v>1740</v>
      </c>
      <c r="O102" s="456" t="s">
        <v>1741</v>
      </c>
      <c r="P102" s="456" t="s">
        <v>1906</v>
      </c>
      <c r="Q102" s="615">
        <v>92308555.129999995</v>
      </c>
      <c r="R102" s="589"/>
      <c r="S102" s="589"/>
      <c r="T102" s="589"/>
      <c r="U102" s="589">
        <f>+Q102-R102+S102-T102</f>
        <v>92308555.129999995</v>
      </c>
      <c r="V102" s="590" t="s">
        <v>1907</v>
      </c>
      <c r="W102" s="954">
        <v>246</v>
      </c>
      <c r="X102" s="773" t="s">
        <v>1887</v>
      </c>
      <c r="Y102" s="955">
        <v>293304</v>
      </c>
      <c r="Z102" s="591">
        <v>272744</v>
      </c>
      <c r="AA102" s="591">
        <v>99059</v>
      </c>
      <c r="AB102" s="591">
        <v>36139</v>
      </c>
      <c r="AC102" s="591">
        <v>314186</v>
      </c>
      <c r="AD102" s="591">
        <v>116664</v>
      </c>
      <c r="AE102" s="591">
        <v>3247</v>
      </c>
      <c r="AF102" s="591">
        <v>6804</v>
      </c>
      <c r="AG102" s="591">
        <v>25</v>
      </c>
      <c r="AH102" s="591">
        <v>7</v>
      </c>
      <c r="AI102" s="591">
        <v>0</v>
      </c>
      <c r="AJ102" s="591">
        <v>0</v>
      </c>
      <c r="AK102" s="591">
        <v>50946</v>
      </c>
      <c r="AL102" s="591">
        <v>28554</v>
      </c>
      <c r="AM102" s="591">
        <v>53914</v>
      </c>
      <c r="AN102" s="592">
        <v>566048</v>
      </c>
      <c r="AO102" s="587" t="s">
        <v>1669</v>
      </c>
      <c r="AP102" s="587" t="s">
        <v>1670</v>
      </c>
      <c r="AQ102" s="115" t="s">
        <v>1671</v>
      </c>
    </row>
    <row r="103" spans="1:43" ht="45.75">
      <c r="A103" s="115">
        <v>1</v>
      </c>
      <c r="B103" s="597" t="s">
        <v>513</v>
      </c>
      <c r="C103" s="584">
        <v>19</v>
      </c>
      <c r="D103" s="115" t="s">
        <v>1559</v>
      </c>
      <c r="E103" s="23">
        <v>1906</v>
      </c>
      <c r="F103" s="115" t="s">
        <v>1730</v>
      </c>
      <c r="G103" s="611">
        <v>1906044</v>
      </c>
      <c r="H103" s="456" t="s">
        <v>1781</v>
      </c>
      <c r="I103" s="585">
        <v>190604400</v>
      </c>
      <c r="J103" s="611" t="s">
        <v>1782</v>
      </c>
      <c r="K103" s="618">
        <v>274205</v>
      </c>
      <c r="L103" s="115"/>
      <c r="M103" s="115">
        <f t="shared" si="0"/>
        <v>274205</v>
      </c>
      <c r="N103" s="587" t="s">
        <v>1740</v>
      </c>
      <c r="O103" s="456" t="s">
        <v>1741</v>
      </c>
      <c r="P103" s="456" t="s">
        <v>1908</v>
      </c>
      <c r="Q103" s="615">
        <v>15387652.955324274</v>
      </c>
      <c r="R103" s="589"/>
      <c r="S103" s="589"/>
      <c r="T103" s="589"/>
      <c r="U103" s="589">
        <f>+Q103-R103+S103-T103</f>
        <v>15387652.955324274</v>
      </c>
      <c r="V103" s="590" t="s">
        <v>1909</v>
      </c>
      <c r="W103" s="954">
        <v>246</v>
      </c>
      <c r="X103" s="773" t="s">
        <v>1887</v>
      </c>
      <c r="Y103" s="955">
        <v>293304</v>
      </c>
      <c r="Z103" s="591">
        <v>272744</v>
      </c>
      <c r="AA103" s="591">
        <v>99059</v>
      </c>
      <c r="AB103" s="591">
        <v>36139</v>
      </c>
      <c r="AC103" s="591">
        <v>314186</v>
      </c>
      <c r="AD103" s="591">
        <v>116664</v>
      </c>
      <c r="AE103" s="591">
        <v>3247</v>
      </c>
      <c r="AF103" s="591">
        <v>6804</v>
      </c>
      <c r="AG103" s="591">
        <v>25</v>
      </c>
      <c r="AH103" s="591">
        <v>7</v>
      </c>
      <c r="AI103" s="591">
        <v>0</v>
      </c>
      <c r="AJ103" s="591">
        <v>0</v>
      </c>
      <c r="AK103" s="591">
        <v>50946</v>
      </c>
      <c r="AL103" s="591">
        <v>28554</v>
      </c>
      <c r="AM103" s="591">
        <v>53914</v>
      </c>
      <c r="AN103" s="592">
        <v>566048</v>
      </c>
      <c r="AO103" s="587" t="s">
        <v>1669</v>
      </c>
      <c r="AP103" s="587" t="s">
        <v>1670</v>
      </c>
      <c r="AQ103" s="115" t="s">
        <v>1671</v>
      </c>
    </row>
    <row r="104" spans="1:43" ht="45.75">
      <c r="A104" s="115">
        <v>1</v>
      </c>
      <c r="B104" s="597" t="s">
        <v>513</v>
      </c>
      <c r="C104" s="584">
        <v>19</v>
      </c>
      <c r="D104" s="115" t="s">
        <v>1559</v>
      </c>
      <c r="E104" s="23">
        <v>1906</v>
      </c>
      <c r="F104" s="115" t="s">
        <v>1730</v>
      </c>
      <c r="G104" s="611">
        <v>1906044</v>
      </c>
      <c r="H104" s="456" t="s">
        <v>1781</v>
      </c>
      <c r="I104" s="585">
        <v>190604400</v>
      </c>
      <c r="J104" s="611" t="s">
        <v>1782</v>
      </c>
      <c r="K104" s="618">
        <v>274205</v>
      </c>
      <c r="L104" s="115"/>
      <c r="M104" s="115">
        <f t="shared" si="0"/>
        <v>274205</v>
      </c>
      <c r="N104" s="587" t="s">
        <v>1740</v>
      </c>
      <c r="O104" s="456" t="s">
        <v>1741</v>
      </c>
      <c r="P104" s="456" t="s">
        <v>1910</v>
      </c>
      <c r="Q104" s="933">
        <v>351810055.18401003</v>
      </c>
      <c r="R104" s="589"/>
      <c r="S104" s="589"/>
      <c r="T104" s="589"/>
      <c r="U104" s="589">
        <f>+Q104-R104+S104-T104</f>
        <v>351810055.18401003</v>
      </c>
      <c r="V104" s="590" t="s">
        <v>1911</v>
      </c>
      <c r="W104" s="954">
        <v>249</v>
      </c>
      <c r="X104" s="773" t="s">
        <v>1912</v>
      </c>
      <c r="Y104" s="955">
        <v>293304</v>
      </c>
      <c r="Z104" s="591">
        <v>272744</v>
      </c>
      <c r="AA104" s="591">
        <v>99059</v>
      </c>
      <c r="AB104" s="591">
        <v>36139</v>
      </c>
      <c r="AC104" s="591">
        <v>314186</v>
      </c>
      <c r="AD104" s="591">
        <v>116664</v>
      </c>
      <c r="AE104" s="591">
        <v>3247</v>
      </c>
      <c r="AF104" s="591">
        <v>6804</v>
      </c>
      <c r="AG104" s="591">
        <v>25</v>
      </c>
      <c r="AH104" s="591">
        <v>7</v>
      </c>
      <c r="AI104" s="591">
        <v>0</v>
      </c>
      <c r="AJ104" s="591">
        <v>0</v>
      </c>
      <c r="AK104" s="591">
        <v>50946</v>
      </c>
      <c r="AL104" s="591">
        <v>28554</v>
      </c>
      <c r="AM104" s="591">
        <v>53914</v>
      </c>
      <c r="AN104" s="592">
        <v>566048</v>
      </c>
      <c r="AO104" s="587" t="s">
        <v>1669</v>
      </c>
      <c r="AP104" s="587" t="s">
        <v>1670</v>
      </c>
      <c r="AQ104" s="115" t="s">
        <v>1671</v>
      </c>
    </row>
    <row r="105" spans="1:43" ht="45.75">
      <c r="A105" s="115">
        <v>1</v>
      </c>
      <c r="B105" s="597" t="s">
        <v>513</v>
      </c>
      <c r="C105" s="584">
        <v>19</v>
      </c>
      <c r="D105" s="115" t="s">
        <v>1559</v>
      </c>
      <c r="E105" s="23">
        <v>1906</v>
      </c>
      <c r="F105" s="115" t="s">
        <v>1730</v>
      </c>
      <c r="G105" s="611">
        <v>1906044</v>
      </c>
      <c r="H105" s="456" t="s">
        <v>1781</v>
      </c>
      <c r="I105" s="585">
        <v>190604400</v>
      </c>
      <c r="J105" s="611" t="s">
        <v>1782</v>
      </c>
      <c r="K105" s="618">
        <v>274205</v>
      </c>
      <c r="L105" s="115"/>
      <c r="M105" s="115">
        <f t="shared" si="0"/>
        <v>274205</v>
      </c>
      <c r="N105" s="587" t="s">
        <v>1740</v>
      </c>
      <c r="O105" s="456" t="s">
        <v>1741</v>
      </c>
      <c r="P105" s="456" t="s">
        <v>1913</v>
      </c>
      <c r="Q105" s="933">
        <v>4970287.7865248341</v>
      </c>
      <c r="R105" s="589"/>
      <c r="S105" s="589"/>
      <c r="T105" s="589"/>
      <c r="U105" s="589">
        <f>+Q105-R105+S105-T105</f>
        <v>4970287.7865248341</v>
      </c>
      <c r="V105" s="590" t="s">
        <v>1914</v>
      </c>
      <c r="W105" s="954">
        <v>249</v>
      </c>
      <c r="X105" s="773" t="s">
        <v>1912</v>
      </c>
      <c r="Y105" s="955">
        <v>293304</v>
      </c>
      <c r="Z105" s="591">
        <v>272744</v>
      </c>
      <c r="AA105" s="591">
        <v>99059</v>
      </c>
      <c r="AB105" s="591">
        <v>36139</v>
      </c>
      <c r="AC105" s="591">
        <v>314186</v>
      </c>
      <c r="AD105" s="591">
        <v>116664</v>
      </c>
      <c r="AE105" s="591">
        <v>3247</v>
      </c>
      <c r="AF105" s="591">
        <v>6804</v>
      </c>
      <c r="AG105" s="591">
        <v>25</v>
      </c>
      <c r="AH105" s="591">
        <v>7</v>
      </c>
      <c r="AI105" s="591">
        <v>0</v>
      </c>
      <c r="AJ105" s="591">
        <v>0</v>
      </c>
      <c r="AK105" s="591">
        <v>50946</v>
      </c>
      <c r="AL105" s="591">
        <v>28554</v>
      </c>
      <c r="AM105" s="591">
        <v>53914</v>
      </c>
      <c r="AN105" s="592">
        <v>566048</v>
      </c>
      <c r="AO105" s="587" t="s">
        <v>1669</v>
      </c>
      <c r="AP105" s="587" t="s">
        <v>1670</v>
      </c>
      <c r="AQ105" s="115" t="s">
        <v>1671</v>
      </c>
    </row>
    <row r="106" spans="1:43" ht="45.75">
      <c r="A106" s="115">
        <v>1</v>
      </c>
      <c r="B106" s="597" t="s">
        <v>513</v>
      </c>
      <c r="C106" s="584">
        <v>19</v>
      </c>
      <c r="D106" s="115" t="s">
        <v>1559</v>
      </c>
      <c r="E106" s="23">
        <v>1906</v>
      </c>
      <c r="F106" s="115" t="s">
        <v>1730</v>
      </c>
      <c r="G106" s="611">
        <v>1906044</v>
      </c>
      <c r="H106" s="456" t="s">
        <v>1781</v>
      </c>
      <c r="I106" s="585">
        <v>190604400</v>
      </c>
      <c r="J106" s="611" t="s">
        <v>1782</v>
      </c>
      <c r="K106" s="618">
        <v>274205</v>
      </c>
      <c r="L106" s="115"/>
      <c r="M106" s="115">
        <f t="shared" si="0"/>
        <v>274205</v>
      </c>
      <c r="N106" s="587" t="s">
        <v>1740</v>
      </c>
      <c r="O106" s="456" t="s">
        <v>1741</v>
      </c>
      <c r="P106" s="456" t="s">
        <v>1915</v>
      </c>
      <c r="Q106" s="933">
        <v>92793183.211538449</v>
      </c>
      <c r="R106" s="589"/>
      <c r="S106" s="589"/>
      <c r="T106" s="589"/>
      <c r="U106" s="589">
        <f>+Q106-R106+S106-T106</f>
        <v>92793183.211538449</v>
      </c>
      <c r="V106" s="590" t="s">
        <v>1916</v>
      </c>
      <c r="W106" s="954">
        <v>249</v>
      </c>
      <c r="X106" s="773" t="s">
        <v>1912</v>
      </c>
      <c r="Y106" s="955">
        <v>293304</v>
      </c>
      <c r="Z106" s="591">
        <v>272744</v>
      </c>
      <c r="AA106" s="591">
        <v>99059</v>
      </c>
      <c r="AB106" s="591">
        <v>36139</v>
      </c>
      <c r="AC106" s="591">
        <v>314186</v>
      </c>
      <c r="AD106" s="591">
        <v>116664</v>
      </c>
      <c r="AE106" s="591">
        <v>3247</v>
      </c>
      <c r="AF106" s="591">
        <v>6804</v>
      </c>
      <c r="AG106" s="591">
        <v>25</v>
      </c>
      <c r="AH106" s="591">
        <v>7</v>
      </c>
      <c r="AI106" s="591">
        <v>0</v>
      </c>
      <c r="AJ106" s="591">
        <v>0</v>
      </c>
      <c r="AK106" s="591">
        <v>50946</v>
      </c>
      <c r="AL106" s="591">
        <v>28554</v>
      </c>
      <c r="AM106" s="591">
        <v>53914</v>
      </c>
      <c r="AN106" s="592">
        <v>566048</v>
      </c>
      <c r="AO106" s="587" t="s">
        <v>1669</v>
      </c>
      <c r="AP106" s="587" t="s">
        <v>1670</v>
      </c>
      <c r="AQ106" s="115" t="s">
        <v>1671</v>
      </c>
    </row>
    <row r="107" spans="1:43" ht="45.75">
      <c r="A107" s="115">
        <v>1</v>
      </c>
      <c r="B107" s="597" t="s">
        <v>513</v>
      </c>
      <c r="C107" s="584">
        <v>19</v>
      </c>
      <c r="D107" s="115" t="s">
        <v>1559</v>
      </c>
      <c r="E107" s="23">
        <v>1906</v>
      </c>
      <c r="F107" s="115" t="s">
        <v>1730</v>
      </c>
      <c r="G107" s="611">
        <v>1906044</v>
      </c>
      <c r="H107" s="456" t="s">
        <v>1781</v>
      </c>
      <c r="I107" s="585">
        <v>190604400</v>
      </c>
      <c r="J107" s="611" t="s">
        <v>1782</v>
      </c>
      <c r="K107" s="618">
        <v>274205</v>
      </c>
      <c r="L107" s="115"/>
      <c r="M107" s="115">
        <f t="shared" si="0"/>
        <v>274205</v>
      </c>
      <c r="N107" s="587" t="s">
        <v>1740</v>
      </c>
      <c r="O107" s="456" t="s">
        <v>1741</v>
      </c>
      <c r="P107" s="456" t="s">
        <v>1917</v>
      </c>
      <c r="Q107" s="933">
        <v>38928944.544131264</v>
      </c>
      <c r="R107" s="589"/>
      <c r="S107" s="589"/>
      <c r="T107" s="589"/>
      <c r="U107" s="589">
        <f>+Q107-R107+S107-T107</f>
        <v>38928944.544131264</v>
      </c>
      <c r="V107" s="590" t="s">
        <v>1918</v>
      </c>
      <c r="W107" s="954">
        <v>249</v>
      </c>
      <c r="X107" s="773" t="s">
        <v>1912</v>
      </c>
      <c r="Y107" s="955">
        <v>293304</v>
      </c>
      <c r="Z107" s="591">
        <v>272744</v>
      </c>
      <c r="AA107" s="591">
        <v>99059</v>
      </c>
      <c r="AB107" s="591">
        <v>36139</v>
      </c>
      <c r="AC107" s="591">
        <v>314186</v>
      </c>
      <c r="AD107" s="591">
        <v>116664</v>
      </c>
      <c r="AE107" s="591">
        <v>3247</v>
      </c>
      <c r="AF107" s="591">
        <v>6804</v>
      </c>
      <c r="AG107" s="591">
        <v>25</v>
      </c>
      <c r="AH107" s="591">
        <v>7</v>
      </c>
      <c r="AI107" s="591">
        <v>0</v>
      </c>
      <c r="AJ107" s="591">
        <v>0</v>
      </c>
      <c r="AK107" s="591">
        <v>50946</v>
      </c>
      <c r="AL107" s="591">
        <v>28554</v>
      </c>
      <c r="AM107" s="591">
        <v>53914</v>
      </c>
      <c r="AN107" s="592">
        <v>566048</v>
      </c>
      <c r="AO107" s="587" t="s">
        <v>1669</v>
      </c>
      <c r="AP107" s="587" t="s">
        <v>1670</v>
      </c>
      <c r="AQ107" s="115" t="s">
        <v>1671</v>
      </c>
    </row>
    <row r="108" spans="1:43" ht="45.75">
      <c r="A108" s="115">
        <v>1</v>
      </c>
      <c r="B108" s="597" t="s">
        <v>513</v>
      </c>
      <c r="C108" s="584">
        <v>19</v>
      </c>
      <c r="D108" s="115" t="s">
        <v>1559</v>
      </c>
      <c r="E108" s="23">
        <v>1906</v>
      </c>
      <c r="F108" s="115" t="s">
        <v>1730</v>
      </c>
      <c r="G108" s="611">
        <v>1906044</v>
      </c>
      <c r="H108" s="456" t="s">
        <v>1781</v>
      </c>
      <c r="I108" s="585">
        <v>190604400</v>
      </c>
      <c r="J108" s="611" t="s">
        <v>1782</v>
      </c>
      <c r="K108" s="618">
        <v>274205</v>
      </c>
      <c r="L108" s="115"/>
      <c r="M108" s="115">
        <f t="shared" si="0"/>
        <v>274205</v>
      </c>
      <c r="N108" s="587" t="s">
        <v>1740</v>
      </c>
      <c r="O108" s="456" t="s">
        <v>1741</v>
      </c>
      <c r="P108" s="456" t="s">
        <v>1919</v>
      </c>
      <c r="Q108" s="933">
        <v>10950377.396493057</v>
      </c>
      <c r="R108" s="589"/>
      <c r="S108" s="589"/>
      <c r="T108" s="589"/>
      <c r="U108" s="589">
        <f>+Q108-R108+S108-T108</f>
        <v>10950377.396493057</v>
      </c>
      <c r="V108" s="590" t="s">
        <v>1920</v>
      </c>
      <c r="W108" s="954">
        <v>249</v>
      </c>
      <c r="X108" s="773" t="s">
        <v>1912</v>
      </c>
      <c r="Y108" s="955">
        <v>293304</v>
      </c>
      <c r="Z108" s="591">
        <v>272744</v>
      </c>
      <c r="AA108" s="591">
        <v>99059</v>
      </c>
      <c r="AB108" s="591">
        <v>36139</v>
      </c>
      <c r="AC108" s="591">
        <v>314186</v>
      </c>
      <c r="AD108" s="591">
        <v>116664</v>
      </c>
      <c r="AE108" s="591">
        <v>3247</v>
      </c>
      <c r="AF108" s="591">
        <v>6804</v>
      </c>
      <c r="AG108" s="591">
        <v>25</v>
      </c>
      <c r="AH108" s="591">
        <v>7</v>
      </c>
      <c r="AI108" s="591">
        <v>0</v>
      </c>
      <c r="AJ108" s="591">
        <v>0</v>
      </c>
      <c r="AK108" s="591">
        <v>50946</v>
      </c>
      <c r="AL108" s="591">
        <v>28554</v>
      </c>
      <c r="AM108" s="591">
        <v>53914</v>
      </c>
      <c r="AN108" s="592">
        <v>566048</v>
      </c>
      <c r="AO108" s="587" t="s">
        <v>1669</v>
      </c>
      <c r="AP108" s="587" t="s">
        <v>1670</v>
      </c>
      <c r="AQ108" s="115" t="s">
        <v>1671</v>
      </c>
    </row>
    <row r="109" spans="1:43" ht="45.75">
      <c r="A109" s="115">
        <v>1</v>
      </c>
      <c r="B109" s="597" t="s">
        <v>513</v>
      </c>
      <c r="C109" s="584">
        <v>19</v>
      </c>
      <c r="D109" s="115" t="s">
        <v>1559</v>
      </c>
      <c r="E109" s="23">
        <v>1906</v>
      </c>
      <c r="F109" s="115" t="s">
        <v>1730</v>
      </c>
      <c r="G109" s="611">
        <v>1906044</v>
      </c>
      <c r="H109" s="456" t="s">
        <v>1781</v>
      </c>
      <c r="I109" s="585">
        <v>190604400</v>
      </c>
      <c r="J109" s="611" t="s">
        <v>1782</v>
      </c>
      <c r="K109" s="618">
        <v>274205</v>
      </c>
      <c r="L109" s="115"/>
      <c r="M109" s="115">
        <f t="shared" si="0"/>
        <v>274205</v>
      </c>
      <c r="N109" s="587" t="s">
        <v>1740</v>
      </c>
      <c r="O109" s="456" t="s">
        <v>1741</v>
      </c>
      <c r="P109" s="456" t="s">
        <v>1921</v>
      </c>
      <c r="Q109" s="933">
        <v>20339905.280000001</v>
      </c>
      <c r="R109" s="589"/>
      <c r="S109" s="589"/>
      <c r="T109" s="589"/>
      <c r="U109" s="589">
        <f>+Q109-R109+S109-T109</f>
        <v>20339905.280000001</v>
      </c>
      <c r="V109" s="590" t="s">
        <v>1922</v>
      </c>
      <c r="W109" s="954">
        <v>249</v>
      </c>
      <c r="X109" s="773" t="s">
        <v>1912</v>
      </c>
      <c r="Y109" s="955">
        <v>293304</v>
      </c>
      <c r="Z109" s="591">
        <v>272744</v>
      </c>
      <c r="AA109" s="591">
        <v>99059</v>
      </c>
      <c r="AB109" s="591">
        <v>36139</v>
      </c>
      <c r="AC109" s="591">
        <v>314186</v>
      </c>
      <c r="AD109" s="591">
        <v>116664</v>
      </c>
      <c r="AE109" s="591">
        <v>3247</v>
      </c>
      <c r="AF109" s="591">
        <v>6804</v>
      </c>
      <c r="AG109" s="591">
        <v>25</v>
      </c>
      <c r="AH109" s="591">
        <v>7</v>
      </c>
      <c r="AI109" s="591">
        <v>0</v>
      </c>
      <c r="AJ109" s="591">
        <v>0</v>
      </c>
      <c r="AK109" s="591">
        <v>50946</v>
      </c>
      <c r="AL109" s="591">
        <v>28554</v>
      </c>
      <c r="AM109" s="591">
        <v>53914</v>
      </c>
      <c r="AN109" s="592">
        <v>566048</v>
      </c>
      <c r="AO109" s="587" t="s">
        <v>1669</v>
      </c>
      <c r="AP109" s="587" t="s">
        <v>1670</v>
      </c>
      <c r="AQ109" s="115" t="s">
        <v>1671</v>
      </c>
    </row>
    <row r="110" spans="1:43" ht="45.75">
      <c r="A110" s="115">
        <v>1</v>
      </c>
      <c r="B110" s="597" t="s">
        <v>513</v>
      </c>
      <c r="C110" s="584">
        <v>19</v>
      </c>
      <c r="D110" s="115" t="s">
        <v>1559</v>
      </c>
      <c r="E110" s="23">
        <v>1906</v>
      </c>
      <c r="F110" s="115" t="s">
        <v>1730</v>
      </c>
      <c r="G110" s="611">
        <v>1906044</v>
      </c>
      <c r="H110" s="456" t="s">
        <v>1781</v>
      </c>
      <c r="I110" s="585">
        <v>190604400</v>
      </c>
      <c r="J110" s="611" t="s">
        <v>1782</v>
      </c>
      <c r="K110" s="618">
        <v>274205</v>
      </c>
      <c r="L110" s="115"/>
      <c r="M110" s="115">
        <f t="shared" si="0"/>
        <v>274205</v>
      </c>
      <c r="N110" s="587" t="s">
        <v>1740</v>
      </c>
      <c r="O110" s="456" t="s">
        <v>1741</v>
      </c>
      <c r="P110" s="456" t="s">
        <v>1923</v>
      </c>
      <c r="Q110" s="933">
        <v>16178544.691833584</v>
      </c>
      <c r="R110" s="589"/>
      <c r="S110" s="589"/>
      <c r="T110" s="589"/>
      <c r="U110" s="589">
        <f>+Q110-R110+S110-T110</f>
        <v>16178544.691833584</v>
      </c>
      <c r="V110" s="590" t="s">
        <v>1924</v>
      </c>
      <c r="W110" s="954">
        <v>249</v>
      </c>
      <c r="X110" s="773" t="s">
        <v>1912</v>
      </c>
      <c r="Y110" s="955">
        <v>293304</v>
      </c>
      <c r="Z110" s="591">
        <v>272744</v>
      </c>
      <c r="AA110" s="591">
        <v>99059</v>
      </c>
      <c r="AB110" s="591">
        <v>36139</v>
      </c>
      <c r="AC110" s="591">
        <v>314186</v>
      </c>
      <c r="AD110" s="591">
        <v>116664</v>
      </c>
      <c r="AE110" s="591">
        <v>3247</v>
      </c>
      <c r="AF110" s="591">
        <v>6804</v>
      </c>
      <c r="AG110" s="591">
        <v>25</v>
      </c>
      <c r="AH110" s="591">
        <v>7</v>
      </c>
      <c r="AI110" s="591">
        <v>0</v>
      </c>
      <c r="AJ110" s="591">
        <v>0</v>
      </c>
      <c r="AK110" s="591">
        <v>50946</v>
      </c>
      <c r="AL110" s="591">
        <v>28554</v>
      </c>
      <c r="AM110" s="591">
        <v>53914</v>
      </c>
      <c r="AN110" s="592">
        <v>566048</v>
      </c>
      <c r="AO110" s="587" t="s">
        <v>1669</v>
      </c>
      <c r="AP110" s="587" t="s">
        <v>1670</v>
      </c>
      <c r="AQ110" s="115" t="s">
        <v>1671</v>
      </c>
    </row>
    <row r="111" spans="1:43" ht="45.75">
      <c r="A111" s="115">
        <v>1</v>
      </c>
      <c r="B111" s="597" t="s">
        <v>513</v>
      </c>
      <c r="C111" s="584">
        <v>19</v>
      </c>
      <c r="D111" s="115" t="s">
        <v>1559</v>
      </c>
      <c r="E111" s="23">
        <v>1906</v>
      </c>
      <c r="F111" s="115" t="s">
        <v>1730</v>
      </c>
      <c r="G111" s="611">
        <v>1906044</v>
      </c>
      <c r="H111" s="456" t="s">
        <v>1781</v>
      </c>
      <c r="I111" s="585">
        <v>190604400</v>
      </c>
      <c r="J111" s="611" t="s">
        <v>1782</v>
      </c>
      <c r="K111" s="618">
        <v>274205</v>
      </c>
      <c r="L111" s="115"/>
      <c r="M111" s="115">
        <f t="shared" si="0"/>
        <v>274205</v>
      </c>
      <c r="N111" s="587" t="s">
        <v>1740</v>
      </c>
      <c r="O111" s="456" t="s">
        <v>1741</v>
      </c>
      <c r="P111" s="456" t="s">
        <v>1925</v>
      </c>
      <c r="Q111" s="933">
        <v>60522958.493372411</v>
      </c>
      <c r="R111" s="589"/>
      <c r="S111" s="589"/>
      <c r="T111" s="589"/>
      <c r="U111" s="589">
        <f>+Q111-R111+S111-T111</f>
        <v>60522958.493372411</v>
      </c>
      <c r="V111" s="590" t="s">
        <v>1926</v>
      </c>
      <c r="W111" s="954">
        <v>249</v>
      </c>
      <c r="X111" s="773" t="s">
        <v>1912</v>
      </c>
      <c r="Y111" s="955">
        <v>293304</v>
      </c>
      <c r="Z111" s="591">
        <v>272744</v>
      </c>
      <c r="AA111" s="591">
        <v>99059</v>
      </c>
      <c r="AB111" s="591">
        <v>36139</v>
      </c>
      <c r="AC111" s="591">
        <v>314186</v>
      </c>
      <c r="AD111" s="591">
        <v>116664</v>
      </c>
      <c r="AE111" s="591">
        <v>3247</v>
      </c>
      <c r="AF111" s="591">
        <v>6804</v>
      </c>
      <c r="AG111" s="591">
        <v>25</v>
      </c>
      <c r="AH111" s="591">
        <v>7</v>
      </c>
      <c r="AI111" s="591">
        <v>0</v>
      </c>
      <c r="AJ111" s="591">
        <v>0</v>
      </c>
      <c r="AK111" s="591">
        <v>50946</v>
      </c>
      <c r="AL111" s="591">
        <v>28554</v>
      </c>
      <c r="AM111" s="591">
        <v>53914</v>
      </c>
      <c r="AN111" s="592">
        <v>566048</v>
      </c>
      <c r="AO111" s="587" t="s">
        <v>1669</v>
      </c>
      <c r="AP111" s="587" t="s">
        <v>1670</v>
      </c>
      <c r="AQ111" s="115" t="s">
        <v>1671</v>
      </c>
    </row>
    <row r="112" spans="1:43" ht="45.75">
      <c r="A112" s="115">
        <v>1</v>
      </c>
      <c r="B112" s="597" t="s">
        <v>513</v>
      </c>
      <c r="C112" s="584">
        <v>19</v>
      </c>
      <c r="D112" s="115" t="s">
        <v>1559</v>
      </c>
      <c r="E112" s="23">
        <v>1906</v>
      </c>
      <c r="F112" s="115" t="s">
        <v>1730</v>
      </c>
      <c r="G112" s="611">
        <v>1906044</v>
      </c>
      <c r="H112" s="456" t="s">
        <v>1781</v>
      </c>
      <c r="I112" s="585">
        <v>190604400</v>
      </c>
      <c r="J112" s="611" t="s">
        <v>1782</v>
      </c>
      <c r="K112" s="618">
        <v>274205</v>
      </c>
      <c r="L112" s="115"/>
      <c r="M112" s="115">
        <f t="shared" si="0"/>
        <v>274205</v>
      </c>
      <c r="N112" s="587" t="s">
        <v>1740</v>
      </c>
      <c r="O112" s="456" t="s">
        <v>1741</v>
      </c>
      <c r="P112" s="456" t="s">
        <v>1927</v>
      </c>
      <c r="Q112" s="933">
        <v>74119993.780425996</v>
      </c>
      <c r="R112" s="589"/>
      <c r="S112" s="589"/>
      <c r="T112" s="589"/>
      <c r="U112" s="589">
        <f>+Q112-R112+S112-T112</f>
        <v>74119993.780425996</v>
      </c>
      <c r="V112" s="590" t="s">
        <v>1928</v>
      </c>
      <c r="W112" s="954">
        <v>249</v>
      </c>
      <c r="X112" s="773" t="s">
        <v>1912</v>
      </c>
      <c r="Y112" s="955">
        <v>293304</v>
      </c>
      <c r="Z112" s="591">
        <v>272744</v>
      </c>
      <c r="AA112" s="591">
        <v>99059</v>
      </c>
      <c r="AB112" s="591">
        <v>36139</v>
      </c>
      <c r="AC112" s="591">
        <v>314186</v>
      </c>
      <c r="AD112" s="591">
        <v>116664</v>
      </c>
      <c r="AE112" s="591">
        <v>3247</v>
      </c>
      <c r="AF112" s="591">
        <v>6804</v>
      </c>
      <c r="AG112" s="591">
        <v>25</v>
      </c>
      <c r="AH112" s="591">
        <v>7</v>
      </c>
      <c r="AI112" s="591">
        <v>0</v>
      </c>
      <c r="AJ112" s="591">
        <v>0</v>
      </c>
      <c r="AK112" s="591">
        <v>50946</v>
      </c>
      <c r="AL112" s="591">
        <v>28554</v>
      </c>
      <c r="AM112" s="591">
        <v>53914</v>
      </c>
      <c r="AN112" s="592">
        <v>566048</v>
      </c>
      <c r="AO112" s="587" t="s">
        <v>1669</v>
      </c>
      <c r="AP112" s="587" t="s">
        <v>1670</v>
      </c>
      <c r="AQ112" s="115" t="s">
        <v>1671</v>
      </c>
    </row>
    <row r="113" spans="1:43" ht="45.75">
      <c r="A113" s="115">
        <v>1</v>
      </c>
      <c r="B113" s="597" t="s">
        <v>513</v>
      </c>
      <c r="C113" s="584">
        <v>19</v>
      </c>
      <c r="D113" s="115" t="s">
        <v>1559</v>
      </c>
      <c r="E113" s="23">
        <v>1906</v>
      </c>
      <c r="F113" s="115" t="s">
        <v>1730</v>
      </c>
      <c r="G113" s="611">
        <v>1906044</v>
      </c>
      <c r="H113" s="456" t="s">
        <v>1781</v>
      </c>
      <c r="I113" s="585">
        <v>190604400</v>
      </c>
      <c r="J113" s="611" t="s">
        <v>1782</v>
      </c>
      <c r="K113" s="618">
        <v>274205</v>
      </c>
      <c r="L113" s="115"/>
      <c r="M113" s="115">
        <f t="shared" si="0"/>
        <v>274205</v>
      </c>
      <c r="N113" s="587" t="s">
        <v>1740</v>
      </c>
      <c r="O113" s="456" t="s">
        <v>1741</v>
      </c>
      <c r="P113" s="456" t="s">
        <v>1929</v>
      </c>
      <c r="Q113" s="933">
        <v>10839082.0421362</v>
      </c>
      <c r="R113" s="589"/>
      <c r="S113" s="589"/>
      <c r="T113" s="589"/>
      <c r="U113" s="589">
        <f>+Q113-R113+S113-T113</f>
        <v>10839082.0421362</v>
      </c>
      <c r="V113" s="590" t="s">
        <v>1930</v>
      </c>
      <c r="W113" s="954">
        <v>249</v>
      </c>
      <c r="X113" s="773" t="s">
        <v>1912</v>
      </c>
      <c r="Y113" s="955">
        <v>293304</v>
      </c>
      <c r="Z113" s="591">
        <v>272744</v>
      </c>
      <c r="AA113" s="591">
        <v>99059</v>
      </c>
      <c r="AB113" s="591">
        <v>36139</v>
      </c>
      <c r="AC113" s="591">
        <v>314186</v>
      </c>
      <c r="AD113" s="591">
        <v>116664</v>
      </c>
      <c r="AE113" s="591">
        <v>3247</v>
      </c>
      <c r="AF113" s="591">
        <v>6804</v>
      </c>
      <c r="AG113" s="591">
        <v>25</v>
      </c>
      <c r="AH113" s="591">
        <v>7</v>
      </c>
      <c r="AI113" s="591">
        <v>0</v>
      </c>
      <c r="AJ113" s="591">
        <v>0</v>
      </c>
      <c r="AK113" s="591">
        <v>50946</v>
      </c>
      <c r="AL113" s="591">
        <v>28554</v>
      </c>
      <c r="AM113" s="591">
        <v>53914</v>
      </c>
      <c r="AN113" s="592">
        <v>566048</v>
      </c>
      <c r="AO113" s="587" t="s">
        <v>1669</v>
      </c>
      <c r="AP113" s="587" t="s">
        <v>1670</v>
      </c>
      <c r="AQ113" s="115" t="s">
        <v>1671</v>
      </c>
    </row>
    <row r="114" spans="1:43" ht="197.25" customHeight="1">
      <c r="A114" s="115">
        <v>1</v>
      </c>
      <c r="B114" s="597" t="s">
        <v>513</v>
      </c>
      <c r="C114" s="584">
        <v>19</v>
      </c>
      <c r="D114" s="115" t="s">
        <v>1559</v>
      </c>
      <c r="E114" s="23">
        <v>1906</v>
      </c>
      <c r="F114" s="115" t="s">
        <v>1730</v>
      </c>
      <c r="G114" s="611">
        <v>1906044</v>
      </c>
      <c r="H114" s="456" t="s">
        <v>1781</v>
      </c>
      <c r="I114" s="585">
        <v>190604400</v>
      </c>
      <c r="J114" s="611" t="s">
        <v>1782</v>
      </c>
      <c r="K114" s="618">
        <v>274205</v>
      </c>
      <c r="L114" s="115"/>
      <c r="M114" s="115">
        <f t="shared" si="0"/>
        <v>274205</v>
      </c>
      <c r="N114" s="587" t="s">
        <v>1740</v>
      </c>
      <c r="O114" s="456" t="s">
        <v>1741</v>
      </c>
      <c r="P114" s="456" t="s">
        <v>1931</v>
      </c>
      <c r="Q114" s="933">
        <v>57727001.939273901</v>
      </c>
      <c r="R114" s="589"/>
      <c r="S114" s="589"/>
      <c r="T114" s="589"/>
      <c r="U114" s="589">
        <f>+Q114-R114+S114-T114</f>
        <v>57727001.939273901</v>
      </c>
      <c r="V114" s="590" t="s">
        <v>1932</v>
      </c>
      <c r="W114" s="954">
        <v>249</v>
      </c>
      <c r="X114" s="773" t="s">
        <v>1912</v>
      </c>
      <c r="Y114" s="955">
        <v>293304</v>
      </c>
      <c r="Z114" s="591">
        <v>272744</v>
      </c>
      <c r="AA114" s="591">
        <v>99059</v>
      </c>
      <c r="AB114" s="591">
        <v>36139</v>
      </c>
      <c r="AC114" s="591">
        <v>314186</v>
      </c>
      <c r="AD114" s="591">
        <v>116664</v>
      </c>
      <c r="AE114" s="591">
        <v>3247</v>
      </c>
      <c r="AF114" s="591">
        <v>6804</v>
      </c>
      <c r="AG114" s="591">
        <v>25</v>
      </c>
      <c r="AH114" s="591">
        <v>7</v>
      </c>
      <c r="AI114" s="591">
        <v>0</v>
      </c>
      <c r="AJ114" s="591">
        <v>0</v>
      </c>
      <c r="AK114" s="591">
        <v>50946</v>
      </c>
      <c r="AL114" s="591">
        <v>28554</v>
      </c>
      <c r="AM114" s="591">
        <v>53914</v>
      </c>
      <c r="AN114" s="592">
        <v>566048</v>
      </c>
      <c r="AO114" s="587" t="s">
        <v>1669</v>
      </c>
      <c r="AP114" s="587" t="s">
        <v>1670</v>
      </c>
      <c r="AQ114" s="115" t="s">
        <v>1671</v>
      </c>
    </row>
    <row r="115" spans="1:43" ht="197.25" customHeight="1">
      <c r="A115" s="115">
        <v>1</v>
      </c>
      <c r="B115" s="597" t="s">
        <v>513</v>
      </c>
      <c r="C115" s="584">
        <v>19</v>
      </c>
      <c r="D115" s="115" t="s">
        <v>1559</v>
      </c>
      <c r="E115" s="23">
        <v>1906</v>
      </c>
      <c r="F115" s="115" t="s">
        <v>1730</v>
      </c>
      <c r="G115" s="611">
        <v>1906044</v>
      </c>
      <c r="H115" s="456" t="s">
        <v>1781</v>
      </c>
      <c r="I115" s="585">
        <v>190604400</v>
      </c>
      <c r="J115" s="611" t="s">
        <v>1782</v>
      </c>
      <c r="K115" s="618">
        <v>274205</v>
      </c>
      <c r="L115" s="115"/>
      <c r="M115" s="115">
        <f t="shared" si="0"/>
        <v>274205</v>
      </c>
      <c r="N115" s="587" t="s">
        <v>1740</v>
      </c>
      <c r="O115" s="456" t="s">
        <v>1741</v>
      </c>
      <c r="P115" s="456" t="s">
        <v>1933</v>
      </c>
      <c r="Q115" s="933">
        <v>9622976.6608317308</v>
      </c>
      <c r="R115" s="589"/>
      <c r="S115" s="589"/>
      <c r="T115" s="589"/>
      <c r="U115" s="589">
        <f>+Q115-R115+S115-T115</f>
        <v>9622976.6608317308</v>
      </c>
      <c r="V115" s="590" t="s">
        <v>1934</v>
      </c>
      <c r="W115" s="954">
        <v>249</v>
      </c>
      <c r="X115" s="773" t="s">
        <v>1912</v>
      </c>
      <c r="Y115" s="955">
        <v>293304</v>
      </c>
      <c r="Z115" s="591">
        <v>272744</v>
      </c>
      <c r="AA115" s="591">
        <v>99059</v>
      </c>
      <c r="AB115" s="591">
        <v>36139</v>
      </c>
      <c r="AC115" s="591">
        <v>314186</v>
      </c>
      <c r="AD115" s="591">
        <v>116664</v>
      </c>
      <c r="AE115" s="591">
        <v>3247</v>
      </c>
      <c r="AF115" s="591">
        <v>6804</v>
      </c>
      <c r="AG115" s="591">
        <v>25</v>
      </c>
      <c r="AH115" s="591">
        <v>7</v>
      </c>
      <c r="AI115" s="591">
        <v>0</v>
      </c>
      <c r="AJ115" s="591">
        <v>0</v>
      </c>
      <c r="AK115" s="591">
        <v>50946</v>
      </c>
      <c r="AL115" s="591">
        <v>28554</v>
      </c>
      <c r="AM115" s="591">
        <v>53914</v>
      </c>
      <c r="AN115" s="592">
        <v>566048</v>
      </c>
      <c r="AO115" s="587" t="s">
        <v>1669</v>
      </c>
      <c r="AP115" s="587" t="s">
        <v>1670</v>
      </c>
      <c r="AQ115" s="115" t="s">
        <v>1671</v>
      </c>
    </row>
    <row r="116" spans="1:43" ht="45.75">
      <c r="A116" s="115">
        <v>1</v>
      </c>
      <c r="B116" s="597" t="s">
        <v>513</v>
      </c>
      <c r="C116" s="584">
        <v>19</v>
      </c>
      <c r="D116" s="115" t="s">
        <v>1559</v>
      </c>
      <c r="E116" s="23">
        <v>1906</v>
      </c>
      <c r="F116" s="115" t="s">
        <v>1730</v>
      </c>
      <c r="G116" s="611">
        <v>1906044</v>
      </c>
      <c r="H116" s="456" t="s">
        <v>1781</v>
      </c>
      <c r="I116" s="585">
        <v>190604400</v>
      </c>
      <c r="J116" s="611" t="s">
        <v>1782</v>
      </c>
      <c r="K116" s="618">
        <v>274205</v>
      </c>
      <c r="L116" s="115"/>
      <c r="M116" s="115">
        <f t="shared" si="0"/>
        <v>274205</v>
      </c>
      <c r="N116" s="587" t="s">
        <v>1740</v>
      </c>
      <c r="O116" s="456" t="s">
        <v>1741</v>
      </c>
      <c r="P116" s="456" t="s">
        <v>1935</v>
      </c>
      <c r="Q116" s="615">
        <v>12383157933.403522</v>
      </c>
      <c r="R116" s="589"/>
      <c r="S116" s="589"/>
      <c r="T116" s="589"/>
      <c r="U116" s="589">
        <f>+Q116-R116+S116-T116</f>
        <v>12383157933.403522</v>
      </c>
      <c r="V116" s="590" t="s">
        <v>1936</v>
      </c>
      <c r="W116" s="954">
        <v>252</v>
      </c>
      <c r="X116" s="773" t="s">
        <v>1937</v>
      </c>
      <c r="Y116" s="955">
        <v>293304</v>
      </c>
      <c r="Z116" s="591">
        <v>272744</v>
      </c>
      <c r="AA116" s="591">
        <v>99059</v>
      </c>
      <c r="AB116" s="591">
        <v>36139</v>
      </c>
      <c r="AC116" s="591">
        <v>314186</v>
      </c>
      <c r="AD116" s="591">
        <v>116664</v>
      </c>
      <c r="AE116" s="591">
        <v>3247</v>
      </c>
      <c r="AF116" s="591">
        <v>6804</v>
      </c>
      <c r="AG116" s="591">
        <v>25</v>
      </c>
      <c r="AH116" s="591">
        <v>7</v>
      </c>
      <c r="AI116" s="591">
        <v>0</v>
      </c>
      <c r="AJ116" s="591">
        <v>0</v>
      </c>
      <c r="AK116" s="591">
        <v>50946</v>
      </c>
      <c r="AL116" s="591">
        <v>28554</v>
      </c>
      <c r="AM116" s="591">
        <v>53914</v>
      </c>
      <c r="AN116" s="592">
        <v>566048</v>
      </c>
      <c r="AO116" s="587" t="s">
        <v>1669</v>
      </c>
      <c r="AP116" s="587" t="s">
        <v>1670</v>
      </c>
      <c r="AQ116" s="115" t="s">
        <v>1671</v>
      </c>
    </row>
    <row r="117" spans="1:43" ht="45.75">
      <c r="A117" s="115">
        <v>1</v>
      </c>
      <c r="B117" s="597" t="s">
        <v>513</v>
      </c>
      <c r="C117" s="584">
        <v>19</v>
      </c>
      <c r="D117" s="115" t="s">
        <v>1559</v>
      </c>
      <c r="E117" s="23">
        <v>1906</v>
      </c>
      <c r="F117" s="115" t="s">
        <v>1730</v>
      </c>
      <c r="G117" s="611">
        <v>1906044</v>
      </c>
      <c r="H117" s="456" t="s">
        <v>1781</v>
      </c>
      <c r="I117" s="585">
        <v>190604400</v>
      </c>
      <c r="J117" s="611" t="s">
        <v>1782</v>
      </c>
      <c r="K117" s="618">
        <v>274205</v>
      </c>
      <c r="L117" s="115"/>
      <c r="M117" s="115">
        <f t="shared" si="0"/>
        <v>274205</v>
      </c>
      <c r="N117" s="587" t="s">
        <v>1740</v>
      </c>
      <c r="O117" s="456" t="s">
        <v>1741</v>
      </c>
      <c r="P117" s="456" t="s">
        <v>1938</v>
      </c>
      <c r="Q117" s="615">
        <v>174946275.75888982</v>
      </c>
      <c r="R117" s="589"/>
      <c r="S117" s="589"/>
      <c r="T117" s="589"/>
      <c r="U117" s="589">
        <f>+Q117-R117+S117-T117</f>
        <v>174946275.75888982</v>
      </c>
      <c r="V117" s="590" t="s">
        <v>1939</v>
      </c>
      <c r="W117" s="954">
        <v>252</v>
      </c>
      <c r="X117" s="773" t="s">
        <v>1937</v>
      </c>
      <c r="Y117" s="955">
        <v>293304</v>
      </c>
      <c r="Z117" s="591">
        <v>272744</v>
      </c>
      <c r="AA117" s="591">
        <v>99059</v>
      </c>
      <c r="AB117" s="591">
        <v>36139</v>
      </c>
      <c r="AC117" s="591">
        <v>314186</v>
      </c>
      <c r="AD117" s="591">
        <v>116664</v>
      </c>
      <c r="AE117" s="591">
        <v>3247</v>
      </c>
      <c r="AF117" s="591">
        <v>6804</v>
      </c>
      <c r="AG117" s="591">
        <v>25</v>
      </c>
      <c r="AH117" s="591">
        <v>7</v>
      </c>
      <c r="AI117" s="591">
        <v>0</v>
      </c>
      <c r="AJ117" s="591">
        <v>0</v>
      </c>
      <c r="AK117" s="591">
        <v>50946</v>
      </c>
      <c r="AL117" s="591">
        <v>28554</v>
      </c>
      <c r="AM117" s="591">
        <v>53914</v>
      </c>
      <c r="AN117" s="592">
        <v>566048</v>
      </c>
      <c r="AO117" s="587" t="s">
        <v>1669</v>
      </c>
      <c r="AP117" s="587" t="s">
        <v>1670</v>
      </c>
      <c r="AQ117" s="115" t="s">
        <v>1671</v>
      </c>
    </row>
    <row r="118" spans="1:43" ht="45.75">
      <c r="A118" s="115">
        <v>1</v>
      </c>
      <c r="B118" s="597" t="s">
        <v>513</v>
      </c>
      <c r="C118" s="584">
        <v>19</v>
      </c>
      <c r="D118" s="115" t="s">
        <v>1559</v>
      </c>
      <c r="E118" s="23">
        <v>1906</v>
      </c>
      <c r="F118" s="115" t="s">
        <v>1730</v>
      </c>
      <c r="G118" s="611">
        <v>1906044</v>
      </c>
      <c r="H118" s="456" t="s">
        <v>1781</v>
      </c>
      <c r="I118" s="585">
        <v>190604400</v>
      </c>
      <c r="J118" s="611" t="s">
        <v>1782</v>
      </c>
      <c r="K118" s="618">
        <v>274205</v>
      </c>
      <c r="L118" s="115"/>
      <c r="M118" s="115">
        <f t="shared" si="0"/>
        <v>274205</v>
      </c>
      <c r="N118" s="587" t="s">
        <v>1740</v>
      </c>
      <c r="O118" s="456" t="s">
        <v>1741</v>
      </c>
      <c r="P118" s="456" t="s">
        <v>1940</v>
      </c>
      <c r="Q118" s="615">
        <v>3266173397.1804533</v>
      </c>
      <c r="R118" s="589"/>
      <c r="S118" s="589"/>
      <c r="T118" s="589"/>
      <c r="U118" s="589">
        <f>+Q118-R118+S118-T118</f>
        <v>3266173397.1804533</v>
      </c>
      <c r="V118" s="590" t="s">
        <v>1941</v>
      </c>
      <c r="W118" s="954">
        <v>252</v>
      </c>
      <c r="X118" s="773" t="s">
        <v>1937</v>
      </c>
      <c r="Y118" s="955">
        <v>293304</v>
      </c>
      <c r="Z118" s="591">
        <v>272744</v>
      </c>
      <c r="AA118" s="591">
        <v>99059</v>
      </c>
      <c r="AB118" s="591">
        <v>36139</v>
      </c>
      <c r="AC118" s="591">
        <v>314186</v>
      </c>
      <c r="AD118" s="591">
        <v>116664</v>
      </c>
      <c r="AE118" s="591">
        <v>3247</v>
      </c>
      <c r="AF118" s="591">
        <v>6804</v>
      </c>
      <c r="AG118" s="591">
        <v>25</v>
      </c>
      <c r="AH118" s="591">
        <v>7</v>
      </c>
      <c r="AI118" s="591">
        <v>0</v>
      </c>
      <c r="AJ118" s="591">
        <v>0</v>
      </c>
      <c r="AK118" s="591">
        <v>50946</v>
      </c>
      <c r="AL118" s="591">
        <v>28554</v>
      </c>
      <c r="AM118" s="591">
        <v>53914</v>
      </c>
      <c r="AN118" s="592">
        <v>566048</v>
      </c>
      <c r="AO118" s="587" t="s">
        <v>1669</v>
      </c>
      <c r="AP118" s="587" t="s">
        <v>1670</v>
      </c>
      <c r="AQ118" s="115" t="s">
        <v>1671</v>
      </c>
    </row>
    <row r="119" spans="1:43" ht="45.75">
      <c r="A119" s="115">
        <v>1</v>
      </c>
      <c r="B119" s="597" t="s">
        <v>513</v>
      </c>
      <c r="C119" s="584">
        <v>19</v>
      </c>
      <c r="D119" s="115" t="s">
        <v>1559</v>
      </c>
      <c r="E119" s="23">
        <v>1906</v>
      </c>
      <c r="F119" s="115" t="s">
        <v>1730</v>
      </c>
      <c r="G119" s="611">
        <v>1906044</v>
      </c>
      <c r="H119" s="456" t="s">
        <v>1781</v>
      </c>
      <c r="I119" s="585">
        <v>190604400</v>
      </c>
      <c r="J119" s="611" t="s">
        <v>1782</v>
      </c>
      <c r="K119" s="618">
        <v>274205</v>
      </c>
      <c r="L119" s="115"/>
      <c r="M119" s="115">
        <f t="shared" si="0"/>
        <v>274205</v>
      </c>
      <c r="N119" s="587" t="s">
        <v>1740</v>
      </c>
      <c r="O119" s="456" t="s">
        <v>1741</v>
      </c>
      <c r="P119" s="456" t="s">
        <v>1942</v>
      </c>
      <c r="Q119" s="615">
        <v>1370237324.1463687</v>
      </c>
      <c r="R119" s="589"/>
      <c r="S119" s="589"/>
      <c r="T119" s="589"/>
      <c r="U119" s="589">
        <f>+Q119-R119+S119-T119</f>
        <v>1370237324.1463687</v>
      </c>
      <c r="V119" s="590" t="s">
        <v>1943</v>
      </c>
      <c r="W119" s="954">
        <v>252</v>
      </c>
      <c r="X119" s="773" t="s">
        <v>1937</v>
      </c>
      <c r="Y119" s="955">
        <v>293304</v>
      </c>
      <c r="Z119" s="591">
        <v>272744</v>
      </c>
      <c r="AA119" s="591">
        <v>99059</v>
      </c>
      <c r="AB119" s="591">
        <v>36139</v>
      </c>
      <c r="AC119" s="591">
        <v>314186</v>
      </c>
      <c r="AD119" s="591">
        <v>116664</v>
      </c>
      <c r="AE119" s="591">
        <v>3247</v>
      </c>
      <c r="AF119" s="591">
        <v>6804</v>
      </c>
      <c r="AG119" s="591">
        <v>25</v>
      </c>
      <c r="AH119" s="591">
        <v>7</v>
      </c>
      <c r="AI119" s="591">
        <v>0</v>
      </c>
      <c r="AJ119" s="591">
        <v>0</v>
      </c>
      <c r="AK119" s="591">
        <v>50946</v>
      </c>
      <c r="AL119" s="591">
        <v>28554</v>
      </c>
      <c r="AM119" s="591">
        <v>53914</v>
      </c>
      <c r="AN119" s="592">
        <v>566048</v>
      </c>
      <c r="AO119" s="587" t="s">
        <v>1669</v>
      </c>
      <c r="AP119" s="587" t="s">
        <v>1670</v>
      </c>
      <c r="AQ119" s="115" t="s">
        <v>1671</v>
      </c>
    </row>
    <row r="120" spans="1:43" ht="45.75">
      <c r="A120" s="115">
        <v>1</v>
      </c>
      <c r="B120" s="597" t="s">
        <v>513</v>
      </c>
      <c r="C120" s="584">
        <v>19</v>
      </c>
      <c r="D120" s="115" t="s">
        <v>1559</v>
      </c>
      <c r="E120" s="23">
        <v>1906</v>
      </c>
      <c r="F120" s="115" t="s">
        <v>1730</v>
      </c>
      <c r="G120" s="611">
        <v>1906044</v>
      </c>
      <c r="H120" s="456" t="s">
        <v>1781</v>
      </c>
      <c r="I120" s="585">
        <v>190604400</v>
      </c>
      <c r="J120" s="611" t="s">
        <v>1782</v>
      </c>
      <c r="K120" s="618">
        <v>274205</v>
      </c>
      <c r="L120" s="115"/>
      <c r="M120" s="115">
        <f t="shared" si="0"/>
        <v>274205</v>
      </c>
      <c r="N120" s="587" t="s">
        <v>1740</v>
      </c>
      <c r="O120" s="456" t="s">
        <v>1741</v>
      </c>
      <c r="P120" s="456" t="s">
        <v>1944</v>
      </c>
      <c r="Q120" s="615">
        <v>385435978.37859797</v>
      </c>
      <c r="R120" s="589"/>
      <c r="S120" s="589"/>
      <c r="T120" s="589"/>
      <c r="U120" s="589">
        <f>+Q120-R120+S120-T120</f>
        <v>385435978.37859797</v>
      </c>
      <c r="V120" s="590" t="s">
        <v>1945</v>
      </c>
      <c r="W120" s="954">
        <v>252</v>
      </c>
      <c r="X120" s="773" t="s">
        <v>1937</v>
      </c>
      <c r="Y120" s="955">
        <v>293304</v>
      </c>
      <c r="Z120" s="591">
        <v>272744</v>
      </c>
      <c r="AA120" s="591">
        <v>99059</v>
      </c>
      <c r="AB120" s="591">
        <v>36139</v>
      </c>
      <c r="AC120" s="591">
        <v>314186</v>
      </c>
      <c r="AD120" s="591">
        <v>116664</v>
      </c>
      <c r="AE120" s="591">
        <v>3247</v>
      </c>
      <c r="AF120" s="591">
        <v>6804</v>
      </c>
      <c r="AG120" s="591">
        <v>25</v>
      </c>
      <c r="AH120" s="591">
        <v>7</v>
      </c>
      <c r="AI120" s="591">
        <v>0</v>
      </c>
      <c r="AJ120" s="591">
        <v>0</v>
      </c>
      <c r="AK120" s="591">
        <v>50946</v>
      </c>
      <c r="AL120" s="591">
        <v>28554</v>
      </c>
      <c r="AM120" s="591">
        <v>53914</v>
      </c>
      <c r="AN120" s="592">
        <v>566048</v>
      </c>
      <c r="AO120" s="587" t="s">
        <v>1669</v>
      </c>
      <c r="AP120" s="587" t="s">
        <v>1670</v>
      </c>
      <c r="AQ120" s="115" t="s">
        <v>1671</v>
      </c>
    </row>
    <row r="121" spans="1:43" ht="45.75">
      <c r="A121" s="115">
        <v>1</v>
      </c>
      <c r="B121" s="597" t="s">
        <v>513</v>
      </c>
      <c r="C121" s="584">
        <v>19</v>
      </c>
      <c r="D121" s="115" t="s">
        <v>1559</v>
      </c>
      <c r="E121" s="23">
        <v>1906</v>
      </c>
      <c r="F121" s="115" t="s">
        <v>1730</v>
      </c>
      <c r="G121" s="611">
        <v>1906044</v>
      </c>
      <c r="H121" s="456" t="s">
        <v>1781</v>
      </c>
      <c r="I121" s="585">
        <v>190604400</v>
      </c>
      <c r="J121" s="611" t="s">
        <v>1782</v>
      </c>
      <c r="K121" s="618">
        <v>274205</v>
      </c>
      <c r="L121" s="115"/>
      <c r="M121" s="115">
        <f t="shared" si="0"/>
        <v>274205</v>
      </c>
      <c r="N121" s="587" t="s">
        <v>1740</v>
      </c>
      <c r="O121" s="456" t="s">
        <v>1741</v>
      </c>
      <c r="P121" s="456" t="s">
        <v>1946</v>
      </c>
      <c r="Q121" s="615">
        <v>715932520.02999997</v>
      </c>
      <c r="R121" s="589"/>
      <c r="S121" s="589"/>
      <c r="T121" s="589"/>
      <c r="U121" s="589">
        <f>+Q121-R121+S121-T121</f>
        <v>715932520.02999997</v>
      </c>
      <c r="V121" s="590" t="s">
        <v>1947</v>
      </c>
      <c r="W121" s="954">
        <v>252</v>
      </c>
      <c r="X121" s="773" t="s">
        <v>1937</v>
      </c>
      <c r="Y121" s="955">
        <v>293304</v>
      </c>
      <c r="Z121" s="591">
        <v>272744</v>
      </c>
      <c r="AA121" s="591">
        <v>99059</v>
      </c>
      <c r="AB121" s="591">
        <v>36139</v>
      </c>
      <c r="AC121" s="591">
        <v>314186</v>
      </c>
      <c r="AD121" s="591">
        <v>116664</v>
      </c>
      <c r="AE121" s="591">
        <v>3247</v>
      </c>
      <c r="AF121" s="591">
        <v>6804</v>
      </c>
      <c r="AG121" s="591">
        <v>25</v>
      </c>
      <c r="AH121" s="591">
        <v>7</v>
      </c>
      <c r="AI121" s="591">
        <v>0</v>
      </c>
      <c r="AJ121" s="591">
        <v>0</v>
      </c>
      <c r="AK121" s="591">
        <v>50946</v>
      </c>
      <c r="AL121" s="591">
        <v>28554</v>
      </c>
      <c r="AM121" s="591">
        <v>53914</v>
      </c>
      <c r="AN121" s="592">
        <v>566048</v>
      </c>
      <c r="AO121" s="587" t="s">
        <v>1669</v>
      </c>
      <c r="AP121" s="587" t="s">
        <v>1670</v>
      </c>
      <c r="AQ121" s="115" t="s">
        <v>1671</v>
      </c>
    </row>
    <row r="122" spans="1:43" ht="45.75">
      <c r="A122" s="115">
        <v>1</v>
      </c>
      <c r="B122" s="597" t="s">
        <v>513</v>
      </c>
      <c r="C122" s="584">
        <v>19</v>
      </c>
      <c r="D122" s="115" t="s">
        <v>1559</v>
      </c>
      <c r="E122" s="23">
        <v>1906</v>
      </c>
      <c r="F122" s="115" t="s">
        <v>1730</v>
      </c>
      <c r="G122" s="611">
        <v>1906044</v>
      </c>
      <c r="H122" s="456" t="s">
        <v>1781</v>
      </c>
      <c r="I122" s="585">
        <v>190604400</v>
      </c>
      <c r="J122" s="611" t="s">
        <v>1782</v>
      </c>
      <c r="K122" s="618">
        <v>274205</v>
      </c>
      <c r="L122" s="115"/>
      <c r="M122" s="115">
        <f t="shared" si="0"/>
        <v>274205</v>
      </c>
      <c r="N122" s="587" t="s">
        <v>1740</v>
      </c>
      <c r="O122" s="456" t="s">
        <v>1741</v>
      </c>
      <c r="P122" s="456" t="s">
        <v>1948</v>
      </c>
      <c r="Q122" s="615">
        <v>569459204.5147897</v>
      </c>
      <c r="R122" s="589"/>
      <c r="S122" s="589"/>
      <c r="T122" s="589"/>
      <c r="U122" s="589">
        <f>+Q122-R122+S122-T122</f>
        <v>569459204.5147897</v>
      </c>
      <c r="V122" s="590" t="s">
        <v>1949</v>
      </c>
      <c r="W122" s="954">
        <v>252</v>
      </c>
      <c r="X122" s="773" t="s">
        <v>1937</v>
      </c>
      <c r="Y122" s="955">
        <v>293304</v>
      </c>
      <c r="Z122" s="591">
        <v>272744</v>
      </c>
      <c r="AA122" s="591">
        <v>99059</v>
      </c>
      <c r="AB122" s="591">
        <v>36139</v>
      </c>
      <c r="AC122" s="591">
        <v>314186</v>
      </c>
      <c r="AD122" s="591">
        <v>116664</v>
      </c>
      <c r="AE122" s="591">
        <v>3247</v>
      </c>
      <c r="AF122" s="591">
        <v>6804</v>
      </c>
      <c r="AG122" s="591">
        <v>25</v>
      </c>
      <c r="AH122" s="591">
        <v>7</v>
      </c>
      <c r="AI122" s="591">
        <v>0</v>
      </c>
      <c r="AJ122" s="591">
        <v>0</v>
      </c>
      <c r="AK122" s="591">
        <v>50946</v>
      </c>
      <c r="AL122" s="591">
        <v>28554</v>
      </c>
      <c r="AM122" s="591">
        <v>53914</v>
      </c>
      <c r="AN122" s="592">
        <v>566048</v>
      </c>
      <c r="AO122" s="587" t="s">
        <v>1669</v>
      </c>
      <c r="AP122" s="587" t="s">
        <v>1670</v>
      </c>
      <c r="AQ122" s="115" t="s">
        <v>1671</v>
      </c>
    </row>
    <row r="123" spans="1:43" ht="45.75">
      <c r="A123" s="115">
        <v>1</v>
      </c>
      <c r="B123" s="597" t="s">
        <v>513</v>
      </c>
      <c r="C123" s="584">
        <v>19</v>
      </c>
      <c r="D123" s="115" t="s">
        <v>1559</v>
      </c>
      <c r="E123" s="23">
        <v>1906</v>
      </c>
      <c r="F123" s="115" t="s">
        <v>1730</v>
      </c>
      <c r="G123" s="611">
        <v>1906044</v>
      </c>
      <c r="H123" s="456" t="s">
        <v>1781</v>
      </c>
      <c r="I123" s="585">
        <v>190604400</v>
      </c>
      <c r="J123" s="611" t="s">
        <v>1782</v>
      </c>
      <c r="K123" s="618">
        <v>274205</v>
      </c>
      <c r="L123" s="115"/>
      <c r="M123" s="115">
        <f t="shared" si="0"/>
        <v>274205</v>
      </c>
      <c r="N123" s="587" t="s">
        <v>1740</v>
      </c>
      <c r="O123" s="456" t="s">
        <v>1741</v>
      </c>
      <c r="P123" s="456" t="s">
        <v>1950</v>
      </c>
      <c r="Q123" s="615">
        <v>2130312487.2508502</v>
      </c>
      <c r="R123" s="589"/>
      <c r="S123" s="589"/>
      <c r="T123" s="589"/>
      <c r="U123" s="589">
        <f>+Q123-R123+S123-T123</f>
        <v>2130312487.2508502</v>
      </c>
      <c r="V123" s="590" t="s">
        <v>1951</v>
      </c>
      <c r="W123" s="954">
        <v>252</v>
      </c>
      <c r="X123" s="773" t="s">
        <v>1937</v>
      </c>
      <c r="Y123" s="955">
        <v>293304</v>
      </c>
      <c r="Z123" s="591">
        <v>272744</v>
      </c>
      <c r="AA123" s="591">
        <v>99059</v>
      </c>
      <c r="AB123" s="591">
        <v>36139</v>
      </c>
      <c r="AC123" s="591">
        <v>314186</v>
      </c>
      <c r="AD123" s="591">
        <v>116664</v>
      </c>
      <c r="AE123" s="591">
        <v>3247</v>
      </c>
      <c r="AF123" s="591">
        <v>6804</v>
      </c>
      <c r="AG123" s="591">
        <v>25</v>
      </c>
      <c r="AH123" s="591">
        <v>7</v>
      </c>
      <c r="AI123" s="591">
        <v>0</v>
      </c>
      <c r="AJ123" s="591">
        <v>0</v>
      </c>
      <c r="AK123" s="591">
        <v>50946</v>
      </c>
      <c r="AL123" s="591">
        <v>28554</v>
      </c>
      <c r="AM123" s="591">
        <v>53914</v>
      </c>
      <c r="AN123" s="592">
        <v>566048</v>
      </c>
      <c r="AO123" s="587" t="s">
        <v>1669</v>
      </c>
      <c r="AP123" s="587" t="s">
        <v>1670</v>
      </c>
      <c r="AQ123" s="115" t="s">
        <v>1671</v>
      </c>
    </row>
    <row r="124" spans="1:43" ht="45.75">
      <c r="A124" s="115">
        <v>1</v>
      </c>
      <c r="B124" s="597" t="s">
        <v>513</v>
      </c>
      <c r="C124" s="584">
        <v>19</v>
      </c>
      <c r="D124" s="115" t="s">
        <v>1559</v>
      </c>
      <c r="E124" s="23">
        <v>1906</v>
      </c>
      <c r="F124" s="115" t="s">
        <v>1730</v>
      </c>
      <c r="G124" s="611">
        <v>1906044</v>
      </c>
      <c r="H124" s="456" t="s">
        <v>1781</v>
      </c>
      <c r="I124" s="585">
        <v>190604400</v>
      </c>
      <c r="J124" s="611" t="s">
        <v>1782</v>
      </c>
      <c r="K124" s="618">
        <v>274205</v>
      </c>
      <c r="L124" s="115"/>
      <c r="M124" s="115">
        <f t="shared" si="0"/>
        <v>274205</v>
      </c>
      <c r="N124" s="587" t="s">
        <v>1740</v>
      </c>
      <c r="O124" s="456" t="s">
        <v>1741</v>
      </c>
      <c r="P124" s="456" t="s">
        <v>1952</v>
      </c>
      <c r="Q124" s="615">
        <v>2608906640.8034182</v>
      </c>
      <c r="R124" s="589"/>
      <c r="S124" s="589"/>
      <c r="T124" s="589"/>
      <c r="U124" s="589">
        <f>+Q124-R124+S124-T124</f>
        <v>2608906640.8034182</v>
      </c>
      <c r="V124" s="590" t="s">
        <v>1953</v>
      </c>
      <c r="W124" s="954">
        <v>252</v>
      </c>
      <c r="X124" s="773" t="s">
        <v>1937</v>
      </c>
      <c r="Y124" s="955">
        <v>293304</v>
      </c>
      <c r="Z124" s="591">
        <v>272744</v>
      </c>
      <c r="AA124" s="591">
        <v>99059</v>
      </c>
      <c r="AB124" s="591">
        <v>36139</v>
      </c>
      <c r="AC124" s="591">
        <v>314186</v>
      </c>
      <c r="AD124" s="591">
        <v>116664</v>
      </c>
      <c r="AE124" s="591">
        <v>3247</v>
      </c>
      <c r="AF124" s="591">
        <v>6804</v>
      </c>
      <c r="AG124" s="591">
        <v>25</v>
      </c>
      <c r="AH124" s="591">
        <v>7</v>
      </c>
      <c r="AI124" s="591">
        <v>0</v>
      </c>
      <c r="AJ124" s="591">
        <v>0</v>
      </c>
      <c r="AK124" s="591">
        <v>50946</v>
      </c>
      <c r="AL124" s="591">
        <v>28554</v>
      </c>
      <c r="AM124" s="591">
        <v>53914</v>
      </c>
      <c r="AN124" s="592">
        <v>566048</v>
      </c>
      <c r="AO124" s="587" t="s">
        <v>1669</v>
      </c>
      <c r="AP124" s="587" t="s">
        <v>1670</v>
      </c>
      <c r="AQ124" s="115" t="s">
        <v>1671</v>
      </c>
    </row>
    <row r="125" spans="1:43" ht="45.75">
      <c r="A125" s="115">
        <v>1</v>
      </c>
      <c r="B125" s="597" t="s">
        <v>513</v>
      </c>
      <c r="C125" s="584">
        <v>19</v>
      </c>
      <c r="D125" s="115" t="s">
        <v>1559</v>
      </c>
      <c r="E125" s="23">
        <v>1906</v>
      </c>
      <c r="F125" s="115" t="s">
        <v>1730</v>
      </c>
      <c r="G125" s="611">
        <v>1906044</v>
      </c>
      <c r="H125" s="456" t="s">
        <v>1781</v>
      </c>
      <c r="I125" s="585">
        <v>190604400</v>
      </c>
      <c r="J125" s="611" t="s">
        <v>1782</v>
      </c>
      <c r="K125" s="618">
        <v>274205</v>
      </c>
      <c r="L125" s="115"/>
      <c r="M125" s="115">
        <f t="shared" si="0"/>
        <v>274205</v>
      </c>
      <c r="N125" s="587" t="s">
        <v>1740</v>
      </c>
      <c r="O125" s="456" t="s">
        <v>1741</v>
      </c>
      <c r="P125" s="456" t="s">
        <v>1954</v>
      </c>
      <c r="Q125" s="615">
        <v>381518557.65423316</v>
      </c>
      <c r="R125" s="589"/>
      <c r="S125" s="589"/>
      <c r="T125" s="589"/>
      <c r="U125" s="589">
        <f>+Q125-R125+S125-T125</f>
        <v>381518557.65423316</v>
      </c>
      <c r="V125" s="590" t="s">
        <v>1955</v>
      </c>
      <c r="W125" s="954">
        <v>252</v>
      </c>
      <c r="X125" s="773" t="s">
        <v>1937</v>
      </c>
      <c r="Y125" s="955">
        <v>293304</v>
      </c>
      <c r="Z125" s="591">
        <v>272744</v>
      </c>
      <c r="AA125" s="591">
        <v>99059</v>
      </c>
      <c r="AB125" s="591">
        <v>36139</v>
      </c>
      <c r="AC125" s="591">
        <v>314186</v>
      </c>
      <c r="AD125" s="591">
        <v>116664</v>
      </c>
      <c r="AE125" s="591">
        <v>3247</v>
      </c>
      <c r="AF125" s="591">
        <v>6804</v>
      </c>
      <c r="AG125" s="591">
        <v>25</v>
      </c>
      <c r="AH125" s="591">
        <v>7</v>
      </c>
      <c r="AI125" s="591">
        <v>0</v>
      </c>
      <c r="AJ125" s="591">
        <v>0</v>
      </c>
      <c r="AK125" s="591">
        <v>50946</v>
      </c>
      <c r="AL125" s="591">
        <v>28554</v>
      </c>
      <c r="AM125" s="591">
        <v>53914</v>
      </c>
      <c r="AN125" s="592">
        <v>566048</v>
      </c>
      <c r="AO125" s="587" t="s">
        <v>1669</v>
      </c>
      <c r="AP125" s="587" t="s">
        <v>1670</v>
      </c>
      <c r="AQ125" s="115" t="s">
        <v>1671</v>
      </c>
    </row>
    <row r="126" spans="1:43" ht="45.75">
      <c r="A126" s="115">
        <v>1</v>
      </c>
      <c r="B126" s="597" t="s">
        <v>513</v>
      </c>
      <c r="C126" s="584">
        <v>19</v>
      </c>
      <c r="D126" s="115" t="s">
        <v>1559</v>
      </c>
      <c r="E126" s="23">
        <v>1906</v>
      </c>
      <c r="F126" s="115" t="s">
        <v>1730</v>
      </c>
      <c r="G126" s="611">
        <v>1906044</v>
      </c>
      <c r="H126" s="456" t="s">
        <v>1781</v>
      </c>
      <c r="I126" s="585">
        <v>190604400</v>
      </c>
      <c r="J126" s="611" t="s">
        <v>1782</v>
      </c>
      <c r="K126" s="618">
        <v>274205</v>
      </c>
      <c r="L126" s="115"/>
      <c r="M126" s="115">
        <f t="shared" si="0"/>
        <v>274205</v>
      </c>
      <c r="N126" s="587" t="s">
        <v>1740</v>
      </c>
      <c r="O126" s="456" t="s">
        <v>1741</v>
      </c>
      <c r="P126" s="456" t="s">
        <v>1956</v>
      </c>
      <c r="Q126" s="615">
        <v>2031899235.4346762</v>
      </c>
      <c r="R126" s="589"/>
      <c r="S126" s="589"/>
      <c r="T126" s="589"/>
      <c r="U126" s="589">
        <f>+Q126-R126+S126-T126</f>
        <v>2031899235.4346762</v>
      </c>
      <c r="V126" s="590" t="s">
        <v>1957</v>
      </c>
      <c r="W126" s="954">
        <v>252</v>
      </c>
      <c r="X126" s="773" t="s">
        <v>1937</v>
      </c>
      <c r="Y126" s="955">
        <v>293304</v>
      </c>
      <c r="Z126" s="591">
        <v>272744</v>
      </c>
      <c r="AA126" s="591">
        <v>99059</v>
      </c>
      <c r="AB126" s="591">
        <v>36139</v>
      </c>
      <c r="AC126" s="591">
        <v>314186</v>
      </c>
      <c r="AD126" s="591">
        <v>116664</v>
      </c>
      <c r="AE126" s="591">
        <v>3247</v>
      </c>
      <c r="AF126" s="591">
        <v>6804</v>
      </c>
      <c r="AG126" s="591">
        <v>25</v>
      </c>
      <c r="AH126" s="591">
        <v>7</v>
      </c>
      <c r="AI126" s="591">
        <v>0</v>
      </c>
      <c r="AJ126" s="591">
        <v>0</v>
      </c>
      <c r="AK126" s="591">
        <v>50946</v>
      </c>
      <c r="AL126" s="591">
        <v>28554</v>
      </c>
      <c r="AM126" s="591">
        <v>53914</v>
      </c>
      <c r="AN126" s="592">
        <v>566048</v>
      </c>
      <c r="AO126" s="587" t="s">
        <v>1669</v>
      </c>
      <c r="AP126" s="587" t="s">
        <v>1670</v>
      </c>
      <c r="AQ126" s="115" t="s">
        <v>1671</v>
      </c>
    </row>
    <row r="127" spans="1:43" ht="45.75">
      <c r="A127" s="115">
        <v>1</v>
      </c>
      <c r="B127" s="597" t="s">
        <v>513</v>
      </c>
      <c r="C127" s="584">
        <v>19</v>
      </c>
      <c r="D127" s="115" t="s">
        <v>1559</v>
      </c>
      <c r="E127" s="23">
        <v>1906</v>
      </c>
      <c r="F127" s="115" t="s">
        <v>1730</v>
      </c>
      <c r="G127" s="611">
        <v>1906044</v>
      </c>
      <c r="H127" s="456" t="s">
        <v>1781</v>
      </c>
      <c r="I127" s="585">
        <v>190604400</v>
      </c>
      <c r="J127" s="611" t="s">
        <v>1782</v>
      </c>
      <c r="K127" s="618">
        <v>274205</v>
      </c>
      <c r="L127" s="115"/>
      <c r="M127" s="115">
        <f t="shared" si="0"/>
        <v>274205</v>
      </c>
      <c r="N127" s="587" t="s">
        <v>1740</v>
      </c>
      <c r="O127" s="456" t="s">
        <v>1741</v>
      </c>
      <c r="P127" s="456" t="s">
        <v>1958</v>
      </c>
      <c r="Q127" s="615">
        <v>338713570.48091161</v>
      </c>
      <c r="R127" s="589"/>
      <c r="S127" s="589"/>
      <c r="T127" s="589"/>
      <c r="U127" s="589">
        <f>+Q127-R127+S127-T127</f>
        <v>338713570.48091161</v>
      </c>
      <c r="V127" s="590" t="s">
        <v>1959</v>
      </c>
      <c r="W127" s="954">
        <v>252</v>
      </c>
      <c r="X127" s="773" t="s">
        <v>1937</v>
      </c>
      <c r="Y127" s="955">
        <v>293304</v>
      </c>
      <c r="Z127" s="591">
        <v>272744</v>
      </c>
      <c r="AA127" s="591">
        <v>99059</v>
      </c>
      <c r="AB127" s="591">
        <v>36139</v>
      </c>
      <c r="AC127" s="591">
        <v>314186</v>
      </c>
      <c r="AD127" s="591">
        <v>116664</v>
      </c>
      <c r="AE127" s="591">
        <v>3247</v>
      </c>
      <c r="AF127" s="591">
        <v>6804</v>
      </c>
      <c r="AG127" s="591">
        <v>25</v>
      </c>
      <c r="AH127" s="591">
        <v>7</v>
      </c>
      <c r="AI127" s="591">
        <v>0</v>
      </c>
      <c r="AJ127" s="591">
        <v>0</v>
      </c>
      <c r="AK127" s="591">
        <v>50946</v>
      </c>
      <c r="AL127" s="591">
        <v>28554</v>
      </c>
      <c r="AM127" s="591">
        <v>53914</v>
      </c>
      <c r="AN127" s="592">
        <v>566048</v>
      </c>
      <c r="AO127" s="587" t="s">
        <v>1669</v>
      </c>
      <c r="AP127" s="587" t="s">
        <v>1670</v>
      </c>
      <c r="AQ127" s="115" t="s">
        <v>1671</v>
      </c>
    </row>
    <row r="128" spans="1:43" ht="45.75">
      <c r="A128" s="115">
        <v>1</v>
      </c>
      <c r="B128" s="597" t="s">
        <v>513</v>
      </c>
      <c r="C128" s="584">
        <v>19</v>
      </c>
      <c r="D128" s="115" t="s">
        <v>1559</v>
      </c>
      <c r="E128" s="23">
        <v>1906</v>
      </c>
      <c r="F128" s="115" t="s">
        <v>1730</v>
      </c>
      <c r="G128" s="611">
        <v>1906044</v>
      </c>
      <c r="H128" s="456" t="s">
        <v>1781</v>
      </c>
      <c r="I128" s="585">
        <v>190604400</v>
      </c>
      <c r="J128" s="611" t="s">
        <v>1782</v>
      </c>
      <c r="K128" s="618">
        <v>274205</v>
      </c>
      <c r="L128" s="115"/>
      <c r="M128" s="115">
        <f t="shared" si="0"/>
        <v>274205</v>
      </c>
      <c r="N128" s="587" t="s">
        <v>1740</v>
      </c>
      <c r="O128" s="456" t="s">
        <v>1741</v>
      </c>
      <c r="P128" s="456" t="s">
        <v>1960</v>
      </c>
      <c r="Q128" s="615">
        <v>519191481.80000001</v>
      </c>
      <c r="R128" s="589"/>
      <c r="S128" s="589"/>
      <c r="T128" s="589"/>
      <c r="U128" s="589">
        <f>+Q128-R128+S128-T128</f>
        <v>519191481.80000001</v>
      </c>
      <c r="V128" s="590" t="s">
        <v>1961</v>
      </c>
      <c r="W128" s="954">
        <v>253</v>
      </c>
      <c r="X128" s="773" t="s">
        <v>1962</v>
      </c>
      <c r="Y128" s="955">
        <v>293304</v>
      </c>
      <c r="Z128" s="591">
        <v>272744</v>
      </c>
      <c r="AA128" s="591">
        <v>99059</v>
      </c>
      <c r="AB128" s="591">
        <v>36139</v>
      </c>
      <c r="AC128" s="591">
        <v>314186</v>
      </c>
      <c r="AD128" s="591">
        <v>116664</v>
      </c>
      <c r="AE128" s="591">
        <v>3247</v>
      </c>
      <c r="AF128" s="591">
        <v>6804</v>
      </c>
      <c r="AG128" s="591">
        <v>25</v>
      </c>
      <c r="AH128" s="591">
        <v>7</v>
      </c>
      <c r="AI128" s="591">
        <v>0</v>
      </c>
      <c r="AJ128" s="591">
        <v>0</v>
      </c>
      <c r="AK128" s="591">
        <v>50946</v>
      </c>
      <c r="AL128" s="591">
        <v>28554</v>
      </c>
      <c r="AM128" s="591">
        <v>53914</v>
      </c>
      <c r="AN128" s="592">
        <v>566048</v>
      </c>
      <c r="AO128" s="587" t="s">
        <v>1669</v>
      </c>
      <c r="AP128" s="587" t="s">
        <v>1670</v>
      </c>
      <c r="AQ128" s="115" t="s">
        <v>1671</v>
      </c>
    </row>
    <row r="129" spans="1:43" ht="60.75" hidden="1">
      <c r="A129" s="115">
        <v>1</v>
      </c>
      <c r="B129" s="597" t="s">
        <v>513</v>
      </c>
      <c r="C129" s="584">
        <v>19</v>
      </c>
      <c r="D129" s="115" t="s">
        <v>1559</v>
      </c>
      <c r="E129" s="23">
        <v>1906</v>
      </c>
      <c r="F129" s="115" t="s">
        <v>1730</v>
      </c>
      <c r="G129" s="593">
        <v>1906022</v>
      </c>
      <c r="H129" s="594" t="s">
        <v>1963</v>
      </c>
      <c r="I129" s="585">
        <v>190602200</v>
      </c>
      <c r="J129" s="594" t="s">
        <v>1964</v>
      </c>
      <c r="K129" s="620">
        <v>4</v>
      </c>
      <c r="L129" s="115">
        <v>1</v>
      </c>
      <c r="M129" s="115">
        <v>5</v>
      </c>
      <c r="N129" s="587" t="s">
        <v>1965</v>
      </c>
      <c r="O129" s="456" t="s">
        <v>1966</v>
      </c>
      <c r="P129" s="456" t="s">
        <v>1967</v>
      </c>
      <c r="Q129" s="600">
        <v>20000000</v>
      </c>
      <c r="R129" s="589"/>
      <c r="S129" s="589"/>
      <c r="T129" s="589"/>
      <c r="U129" s="589">
        <f>+Q129-R129+S129-T129</f>
        <v>20000000</v>
      </c>
      <c r="V129" s="590" t="s">
        <v>1968</v>
      </c>
      <c r="W129" s="23">
        <v>20</v>
      </c>
      <c r="X129" s="956" t="s">
        <v>67</v>
      </c>
      <c r="Y129" s="591">
        <v>293304</v>
      </c>
      <c r="Z129" s="591">
        <v>272744</v>
      </c>
      <c r="AA129" s="591">
        <v>99059</v>
      </c>
      <c r="AB129" s="591">
        <v>36139</v>
      </c>
      <c r="AC129" s="591">
        <v>314186</v>
      </c>
      <c r="AD129" s="591">
        <v>116664</v>
      </c>
      <c r="AE129" s="591">
        <v>3247</v>
      </c>
      <c r="AF129" s="591">
        <v>6804</v>
      </c>
      <c r="AG129" s="591">
        <v>25</v>
      </c>
      <c r="AH129" s="591">
        <v>7</v>
      </c>
      <c r="AI129" s="591">
        <v>0</v>
      </c>
      <c r="AJ129" s="591">
        <v>0</v>
      </c>
      <c r="AK129" s="591">
        <v>50946</v>
      </c>
      <c r="AL129" s="591">
        <v>28554</v>
      </c>
      <c r="AM129" s="591">
        <v>53914</v>
      </c>
      <c r="AN129" s="592">
        <f>Y129+Z129</f>
        <v>566048</v>
      </c>
      <c r="AO129" s="587" t="s">
        <v>1669</v>
      </c>
      <c r="AP129" s="587" t="s">
        <v>1670</v>
      </c>
      <c r="AQ129" s="115" t="s">
        <v>1671</v>
      </c>
    </row>
    <row r="130" spans="1:43" ht="60.75" hidden="1">
      <c r="A130" s="115">
        <v>1</v>
      </c>
      <c r="B130" s="597" t="s">
        <v>513</v>
      </c>
      <c r="C130" s="584">
        <v>19</v>
      </c>
      <c r="D130" s="115" t="s">
        <v>1559</v>
      </c>
      <c r="E130" s="23">
        <v>1906</v>
      </c>
      <c r="F130" s="115" t="s">
        <v>1730</v>
      </c>
      <c r="G130" s="593">
        <v>1906026</v>
      </c>
      <c r="H130" s="595" t="s">
        <v>1969</v>
      </c>
      <c r="I130" s="585">
        <v>190602600</v>
      </c>
      <c r="J130" s="594" t="s">
        <v>1970</v>
      </c>
      <c r="K130" s="584">
        <v>2</v>
      </c>
      <c r="L130" s="115"/>
      <c r="M130" s="115">
        <f t="shared" si="0"/>
        <v>2</v>
      </c>
      <c r="N130" s="587" t="s">
        <v>1965</v>
      </c>
      <c r="O130" s="456" t="s">
        <v>1966</v>
      </c>
      <c r="P130" s="456" t="s">
        <v>1971</v>
      </c>
      <c r="Q130" s="600">
        <v>20000000</v>
      </c>
      <c r="R130" s="589"/>
      <c r="S130" s="589"/>
      <c r="T130" s="589"/>
      <c r="U130" s="589">
        <f>+Q130-R130+S130-T130</f>
        <v>20000000</v>
      </c>
      <c r="V130" s="590" t="s">
        <v>1972</v>
      </c>
      <c r="W130" s="23">
        <v>20</v>
      </c>
      <c r="X130" s="115" t="s">
        <v>67</v>
      </c>
      <c r="Y130" s="591">
        <v>293304</v>
      </c>
      <c r="Z130" s="591">
        <v>272744</v>
      </c>
      <c r="AA130" s="591">
        <v>99059</v>
      </c>
      <c r="AB130" s="591">
        <v>36139</v>
      </c>
      <c r="AC130" s="591">
        <v>314186</v>
      </c>
      <c r="AD130" s="591">
        <v>116664</v>
      </c>
      <c r="AE130" s="591">
        <v>3247</v>
      </c>
      <c r="AF130" s="591">
        <v>6804</v>
      </c>
      <c r="AG130" s="591">
        <v>25</v>
      </c>
      <c r="AH130" s="591">
        <v>7</v>
      </c>
      <c r="AI130" s="591">
        <v>0</v>
      </c>
      <c r="AJ130" s="591">
        <v>0</v>
      </c>
      <c r="AK130" s="591">
        <v>50946</v>
      </c>
      <c r="AL130" s="591">
        <v>28554</v>
      </c>
      <c r="AM130" s="591">
        <v>53914</v>
      </c>
      <c r="AN130" s="592">
        <f>Y130+Z130</f>
        <v>566048</v>
      </c>
      <c r="AO130" s="587" t="s">
        <v>1669</v>
      </c>
      <c r="AP130" s="587" t="s">
        <v>1670</v>
      </c>
      <c r="AQ130" s="115" t="s">
        <v>1671</v>
      </c>
    </row>
    <row r="131" spans="1:43" ht="60.75" hidden="1">
      <c r="A131" s="115">
        <v>1</v>
      </c>
      <c r="B131" s="597" t="s">
        <v>513</v>
      </c>
      <c r="C131" s="584">
        <v>19</v>
      </c>
      <c r="D131" s="115" t="s">
        <v>1559</v>
      </c>
      <c r="E131" s="23">
        <v>1905</v>
      </c>
      <c r="F131" s="115" t="s">
        <v>1659</v>
      </c>
      <c r="G131" s="593">
        <v>1905021</v>
      </c>
      <c r="H131" s="456" t="s">
        <v>1561</v>
      </c>
      <c r="I131" s="585">
        <v>190502100</v>
      </c>
      <c r="J131" s="456" t="s">
        <v>1562</v>
      </c>
      <c r="K131" s="621">
        <v>12</v>
      </c>
      <c r="L131" s="115"/>
      <c r="M131" s="115">
        <f t="shared" si="0"/>
        <v>12</v>
      </c>
      <c r="N131" s="587" t="s">
        <v>1973</v>
      </c>
      <c r="O131" s="456" t="s">
        <v>1974</v>
      </c>
      <c r="P131" s="456" t="s">
        <v>1975</v>
      </c>
      <c r="Q131" s="588">
        <v>20000000</v>
      </c>
      <c r="R131" s="589"/>
      <c r="S131" s="589"/>
      <c r="T131" s="589"/>
      <c r="U131" s="589">
        <f>+Q131-R131+S131-T131</f>
        <v>20000000</v>
      </c>
      <c r="V131" s="590" t="s">
        <v>1976</v>
      </c>
      <c r="W131" s="23">
        <v>61</v>
      </c>
      <c r="X131" s="115" t="s">
        <v>1668</v>
      </c>
      <c r="Y131" s="837">
        <v>293304</v>
      </c>
      <c r="Z131" s="838">
        <v>272744</v>
      </c>
      <c r="AA131" s="838">
        <v>99059</v>
      </c>
      <c r="AB131" s="838">
        <v>36139</v>
      </c>
      <c r="AC131" s="838">
        <v>314186</v>
      </c>
      <c r="AD131" s="838">
        <v>116664</v>
      </c>
      <c r="AE131" s="838">
        <v>3247</v>
      </c>
      <c r="AF131" s="838">
        <v>6804</v>
      </c>
      <c r="AG131" s="838">
        <v>25</v>
      </c>
      <c r="AH131" s="838">
        <v>7</v>
      </c>
      <c r="AI131" s="838">
        <v>0</v>
      </c>
      <c r="AJ131" s="838">
        <v>0</v>
      </c>
      <c r="AK131" s="838">
        <v>50946</v>
      </c>
      <c r="AL131" s="838">
        <v>28554</v>
      </c>
      <c r="AM131" s="838">
        <v>53914</v>
      </c>
      <c r="AN131" s="839">
        <f>Y131+Z131</f>
        <v>566048</v>
      </c>
      <c r="AO131" s="587" t="s">
        <v>1669</v>
      </c>
      <c r="AP131" s="587" t="s">
        <v>1670</v>
      </c>
      <c r="AQ131" s="115" t="s">
        <v>1671</v>
      </c>
    </row>
    <row r="132" spans="1:43" ht="60.75" hidden="1">
      <c r="A132" s="115">
        <v>1</v>
      </c>
      <c r="B132" s="597" t="s">
        <v>513</v>
      </c>
      <c r="C132" s="584">
        <v>19</v>
      </c>
      <c r="D132" s="115" t="s">
        <v>1559</v>
      </c>
      <c r="E132" s="23">
        <v>1905</v>
      </c>
      <c r="F132" s="115" t="s">
        <v>1977</v>
      </c>
      <c r="G132" s="593">
        <v>1905021</v>
      </c>
      <c r="H132" s="456" t="s">
        <v>1561</v>
      </c>
      <c r="I132" s="585">
        <v>190502100</v>
      </c>
      <c r="J132" s="456" t="s">
        <v>1562</v>
      </c>
      <c r="K132" s="621">
        <v>12</v>
      </c>
      <c r="L132" s="115"/>
      <c r="M132" s="115">
        <f t="shared" si="0"/>
        <v>12</v>
      </c>
      <c r="N132" s="587" t="s">
        <v>1973</v>
      </c>
      <c r="O132" s="456" t="s">
        <v>1974</v>
      </c>
      <c r="P132" s="456" t="s">
        <v>1978</v>
      </c>
      <c r="Q132" s="588">
        <v>50000000</v>
      </c>
      <c r="R132" s="589"/>
      <c r="S132" s="589"/>
      <c r="T132" s="589"/>
      <c r="U132" s="589">
        <f>+Q132-R132+S132-T132</f>
        <v>50000000</v>
      </c>
      <c r="V132" s="590" t="s">
        <v>1979</v>
      </c>
      <c r="W132" s="23">
        <v>20</v>
      </c>
      <c r="X132" s="115" t="s">
        <v>67</v>
      </c>
      <c r="Y132" s="837">
        <v>293304</v>
      </c>
      <c r="Z132" s="838">
        <v>272744</v>
      </c>
      <c r="AA132" s="838">
        <v>99059</v>
      </c>
      <c r="AB132" s="838">
        <v>36139</v>
      </c>
      <c r="AC132" s="838">
        <v>314186</v>
      </c>
      <c r="AD132" s="838">
        <v>116664</v>
      </c>
      <c r="AE132" s="838">
        <v>3247</v>
      </c>
      <c r="AF132" s="838">
        <v>6804</v>
      </c>
      <c r="AG132" s="838">
        <v>25</v>
      </c>
      <c r="AH132" s="838">
        <v>7</v>
      </c>
      <c r="AI132" s="838">
        <v>0</v>
      </c>
      <c r="AJ132" s="838">
        <v>0</v>
      </c>
      <c r="AK132" s="838">
        <v>50946</v>
      </c>
      <c r="AL132" s="838">
        <v>28554</v>
      </c>
      <c r="AM132" s="838">
        <v>53914</v>
      </c>
      <c r="AN132" s="839">
        <f t="shared" ref="AN132:AN137" si="2">Y132+Z132</f>
        <v>566048</v>
      </c>
      <c r="AO132" s="587" t="s">
        <v>1669</v>
      </c>
      <c r="AP132" s="587" t="s">
        <v>1670</v>
      </c>
      <c r="AQ132" s="115" t="s">
        <v>1671</v>
      </c>
    </row>
    <row r="133" spans="1:43" ht="60.75" hidden="1">
      <c r="A133" s="115">
        <v>1</v>
      </c>
      <c r="B133" s="597" t="s">
        <v>513</v>
      </c>
      <c r="C133" s="584">
        <v>19</v>
      </c>
      <c r="D133" s="115" t="s">
        <v>1559</v>
      </c>
      <c r="E133" s="23">
        <v>1905</v>
      </c>
      <c r="F133" s="115" t="s">
        <v>1659</v>
      </c>
      <c r="G133" s="593">
        <v>1905021</v>
      </c>
      <c r="H133" s="456" t="s">
        <v>1561</v>
      </c>
      <c r="I133" s="585">
        <v>190502100</v>
      </c>
      <c r="J133" s="456" t="s">
        <v>1562</v>
      </c>
      <c r="K133" s="621">
        <v>12</v>
      </c>
      <c r="L133" s="115"/>
      <c r="M133" s="115">
        <f t="shared" si="0"/>
        <v>12</v>
      </c>
      <c r="N133" s="587" t="s">
        <v>1973</v>
      </c>
      <c r="O133" s="456" t="s">
        <v>1974</v>
      </c>
      <c r="P133" s="456" t="s">
        <v>1980</v>
      </c>
      <c r="Q133" s="588">
        <v>25000000</v>
      </c>
      <c r="R133" s="589"/>
      <c r="S133" s="589"/>
      <c r="T133" s="589"/>
      <c r="U133" s="589">
        <f>+Q133-R133+S133-T133</f>
        <v>25000000</v>
      </c>
      <c r="V133" s="590" t="s">
        <v>1976</v>
      </c>
      <c r="W133" s="23">
        <v>61</v>
      </c>
      <c r="X133" s="115" t="s">
        <v>1668</v>
      </c>
      <c r="Y133" s="837">
        <v>293304</v>
      </c>
      <c r="Z133" s="838">
        <v>272744</v>
      </c>
      <c r="AA133" s="838">
        <v>99059</v>
      </c>
      <c r="AB133" s="838">
        <v>36139</v>
      </c>
      <c r="AC133" s="838">
        <v>314186</v>
      </c>
      <c r="AD133" s="838">
        <v>116664</v>
      </c>
      <c r="AE133" s="838">
        <v>3247</v>
      </c>
      <c r="AF133" s="838">
        <v>6804</v>
      </c>
      <c r="AG133" s="838">
        <v>25</v>
      </c>
      <c r="AH133" s="838">
        <v>7</v>
      </c>
      <c r="AI133" s="838">
        <v>0</v>
      </c>
      <c r="AJ133" s="838">
        <v>0</v>
      </c>
      <c r="AK133" s="838">
        <v>50946</v>
      </c>
      <c r="AL133" s="838">
        <v>28554</v>
      </c>
      <c r="AM133" s="838">
        <v>53914</v>
      </c>
      <c r="AN133" s="839">
        <f t="shared" si="2"/>
        <v>566048</v>
      </c>
      <c r="AO133" s="587" t="s">
        <v>1669</v>
      </c>
      <c r="AP133" s="587" t="s">
        <v>1670</v>
      </c>
      <c r="AQ133" s="115" t="s">
        <v>1671</v>
      </c>
    </row>
    <row r="134" spans="1:43" ht="76.5" hidden="1">
      <c r="A134" s="115">
        <v>1</v>
      </c>
      <c r="B134" s="597" t="s">
        <v>513</v>
      </c>
      <c r="C134" s="584">
        <v>19</v>
      </c>
      <c r="D134" s="115" t="s">
        <v>1559</v>
      </c>
      <c r="E134" s="23">
        <v>1905</v>
      </c>
      <c r="F134" s="115" t="s">
        <v>1659</v>
      </c>
      <c r="G134" s="593">
        <v>1905021</v>
      </c>
      <c r="H134" s="456" t="s">
        <v>1561</v>
      </c>
      <c r="I134" s="585">
        <v>190502101</v>
      </c>
      <c r="J134" s="456" t="s">
        <v>1981</v>
      </c>
      <c r="K134" s="265">
        <v>120</v>
      </c>
      <c r="L134" s="115"/>
      <c r="M134" s="115">
        <f t="shared" si="0"/>
        <v>120</v>
      </c>
      <c r="N134" s="587" t="s">
        <v>1973</v>
      </c>
      <c r="O134" s="456" t="s">
        <v>1974</v>
      </c>
      <c r="P134" s="456" t="s">
        <v>1982</v>
      </c>
      <c r="Q134" s="588">
        <v>45000000</v>
      </c>
      <c r="R134" s="589">
        <f>14800000+7400000+5400000</f>
        <v>27600000</v>
      </c>
      <c r="S134" s="589"/>
      <c r="T134" s="589"/>
      <c r="U134" s="589">
        <f>+Q134-R134+S134-T134</f>
        <v>17400000</v>
      </c>
      <c r="V134" s="590" t="s">
        <v>1976</v>
      </c>
      <c r="W134" s="23">
        <v>61</v>
      </c>
      <c r="X134" s="115" t="s">
        <v>1668</v>
      </c>
      <c r="Y134" s="837">
        <v>293304</v>
      </c>
      <c r="Z134" s="838">
        <v>272744</v>
      </c>
      <c r="AA134" s="838">
        <v>99059</v>
      </c>
      <c r="AB134" s="838">
        <v>36139</v>
      </c>
      <c r="AC134" s="838">
        <v>314186</v>
      </c>
      <c r="AD134" s="838">
        <v>116664</v>
      </c>
      <c r="AE134" s="838">
        <v>3247</v>
      </c>
      <c r="AF134" s="838">
        <v>6804</v>
      </c>
      <c r="AG134" s="838">
        <v>25</v>
      </c>
      <c r="AH134" s="838">
        <v>7</v>
      </c>
      <c r="AI134" s="838">
        <v>0</v>
      </c>
      <c r="AJ134" s="838">
        <v>0</v>
      </c>
      <c r="AK134" s="838">
        <v>50946</v>
      </c>
      <c r="AL134" s="838">
        <v>28554</v>
      </c>
      <c r="AM134" s="838">
        <v>53914</v>
      </c>
      <c r="AN134" s="839">
        <f t="shared" si="2"/>
        <v>566048</v>
      </c>
      <c r="AO134" s="587" t="s">
        <v>1669</v>
      </c>
      <c r="AP134" s="587" t="s">
        <v>1670</v>
      </c>
      <c r="AQ134" s="115" t="s">
        <v>1671</v>
      </c>
    </row>
    <row r="135" spans="1:43" ht="60.75" hidden="1">
      <c r="A135" s="115">
        <v>1</v>
      </c>
      <c r="B135" s="597" t="s">
        <v>513</v>
      </c>
      <c r="C135" s="584">
        <v>19</v>
      </c>
      <c r="D135" s="115" t="s">
        <v>1559</v>
      </c>
      <c r="E135" s="23">
        <v>1905</v>
      </c>
      <c r="F135" s="115" t="s">
        <v>1659</v>
      </c>
      <c r="G135" s="593">
        <v>1905021</v>
      </c>
      <c r="H135" s="456" t="s">
        <v>1561</v>
      </c>
      <c r="I135" s="585">
        <v>190502102</v>
      </c>
      <c r="J135" s="456" t="s">
        <v>1983</v>
      </c>
      <c r="K135" s="265">
        <v>11</v>
      </c>
      <c r="L135" s="115"/>
      <c r="M135" s="115">
        <f t="shared" si="0"/>
        <v>11</v>
      </c>
      <c r="N135" s="587" t="s">
        <v>1973</v>
      </c>
      <c r="O135" s="456" t="s">
        <v>1974</v>
      </c>
      <c r="P135" s="456" t="s">
        <v>1984</v>
      </c>
      <c r="Q135" s="588">
        <v>30885383.940000001</v>
      </c>
      <c r="R135" s="589">
        <f>7400000+5400000</f>
        <v>12800000</v>
      </c>
      <c r="S135" s="589"/>
      <c r="T135" s="589"/>
      <c r="U135" s="589">
        <f>+Q135-R135+S135-T135</f>
        <v>18085383.940000001</v>
      </c>
      <c r="V135" s="590" t="s">
        <v>1976</v>
      </c>
      <c r="W135" s="23">
        <v>61</v>
      </c>
      <c r="X135" s="115" t="s">
        <v>1668</v>
      </c>
      <c r="Y135" s="837">
        <v>293304</v>
      </c>
      <c r="Z135" s="838">
        <v>272744</v>
      </c>
      <c r="AA135" s="838">
        <v>99059</v>
      </c>
      <c r="AB135" s="838">
        <v>36139</v>
      </c>
      <c r="AC135" s="838">
        <v>314186</v>
      </c>
      <c r="AD135" s="838">
        <v>116664</v>
      </c>
      <c r="AE135" s="838">
        <v>3247</v>
      </c>
      <c r="AF135" s="838">
        <v>6804</v>
      </c>
      <c r="AG135" s="838">
        <v>25</v>
      </c>
      <c r="AH135" s="838">
        <v>7</v>
      </c>
      <c r="AI135" s="838">
        <v>0</v>
      </c>
      <c r="AJ135" s="838">
        <v>0</v>
      </c>
      <c r="AK135" s="838">
        <v>50946</v>
      </c>
      <c r="AL135" s="838">
        <v>28554</v>
      </c>
      <c r="AM135" s="838">
        <v>53914</v>
      </c>
      <c r="AN135" s="839">
        <f t="shared" si="2"/>
        <v>566048</v>
      </c>
      <c r="AO135" s="587" t="s">
        <v>1669</v>
      </c>
      <c r="AP135" s="587" t="s">
        <v>1670</v>
      </c>
      <c r="AQ135" s="115" t="s">
        <v>1671</v>
      </c>
    </row>
    <row r="136" spans="1:43" ht="60.75" hidden="1">
      <c r="A136" s="115">
        <v>1</v>
      </c>
      <c r="B136" s="597" t="s">
        <v>513</v>
      </c>
      <c r="C136" s="584">
        <v>19</v>
      </c>
      <c r="D136" s="115" t="s">
        <v>1559</v>
      </c>
      <c r="E136" s="23">
        <v>1905</v>
      </c>
      <c r="F136" s="115" t="s">
        <v>1659</v>
      </c>
      <c r="G136" s="593">
        <v>1905049</v>
      </c>
      <c r="H136" s="622" t="s">
        <v>1985</v>
      </c>
      <c r="I136" s="585">
        <v>190504900</v>
      </c>
      <c r="J136" s="456" t="s">
        <v>1986</v>
      </c>
      <c r="K136" s="265">
        <v>12</v>
      </c>
      <c r="L136" s="115"/>
      <c r="M136" s="115">
        <f t="shared" si="0"/>
        <v>12</v>
      </c>
      <c r="N136" s="587" t="s">
        <v>1973</v>
      </c>
      <c r="O136" s="456" t="s">
        <v>1974</v>
      </c>
      <c r="P136" s="456" t="s">
        <v>1987</v>
      </c>
      <c r="Q136" s="609">
        <v>57500000</v>
      </c>
      <c r="R136" s="589">
        <f>14800000</f>
        <v>14800000</v>
      </c>
      <c r="S136" s="589"/>
      <c r="T136" s="589"/>
      <c r="U136" s="589">
        <f>+Q136-R136+S136-T136</f>
        <v>42700000</v>
      </c>
      <c r="V136" s="590" t="s">
        <v>1988</v>
      </c>
      <c r="W136" s="23">
        <v>61</v>
      </c>
      <c r="X136" s="115" t="s">
        <v>1668</v>
      </c>
      <c r="Y136" s="837">
        <v>293304</v>
      </c>
      <c r="Z136" s="838">
        <v>272744</v>
      </c>
      <c r="AA136" s="838">
        <v>99059</v>
      </c>
      <c r="AB136" s="838">
        <v>36139</v>
      </c>
      <c r="AC136" s="838">
        <v>314186</v>
      </c>
      <c r="AD136" s="838">
        <v>116664</v>
      </c>
      <c r="AE136" s="838">
        <v>3247</v>
      </c>
      <c r="AF136" s="838">
        <v>6804</v>
      </c>
      <c r="AG136" s="838">
        <v>25</v>
      </c>
      <c r="AH136" s="838">
        <v>7</v>
      </c>
      <c r="AI136" s="838">
        <v>0</v>
      </c>
      <c r="AJ136" s="838">
        <v>0</v>
      </c>
      <c r="AK136" s="838">
        <v>50946</v>
      </c>
      <c r="AL136" s="838">
        <v>28554</v>
      </c>
      <c r="AM136" s="838">
        <v>53914</v>
      </c>
      <c r="AN136" s="839">
        <f t="shared" si="2"/>
        <v>566048</v>
      </c>
      <c r="AO136" s="587" t="s">
        <v>1669</v>
      </c>
      <c r="AP136" s="587" t="s">
        <v>1670</v>
      </c>
      <c r="AQ136" s="115" t="s">
        <v>1671</v>
      </c>
    </row>
    <row r="137" spans="1:43" ht="76.5" hidden="1">
      <c r="A137" s="115">
        <v>1</v>
      </c>
      <c r="B137" s="597" t="s">
        <v>513</v>
      </c>
      <c r="C137" s="584">
        <v>19</v>
      </c>
      <c r="D137" s="115" t="s">
        <v>1559</v>
      </c>
      <c r="E137" s="23">
        <v>1905</v>
      </c>
      <c r="F137" s="115" t="s">
        <v>1659</v>
      </c>
      <c r="G137" s="593">
        <v>1905054</v>
      </c>
      <c r="H137" s="594" t="s">
        <v>1713</v>
      </c>
      <c r="I137" s="585">
        <v>190505403</v>
      </c>
      <c r="J137" s="456" t="s">
        <v>1989</v>
      </c>
      <c r="K137" s="265">
        <v>11</v>
      </c>
      <c r="L137" s="115"/>
      <c r="M137" s="115">
        <f t="shared" si="0"/>
        <v>11</v>
      </c>
      <c r="N137" s="587" t="s">
        <v>1973</v>
      </c>
      <c r="O137" s="456" t="s">
        <v>1974</v>
      </c>
      <c r="P137" s="456" t="s">
        <v>1990</v>
      </c>
      <c r="Q137" s="609">
        <v>57500000</v>
      </c>
      <c r="R137" s="589">
        <f>12000000+14800000</f>
        <v>26800000</v>
      </c>
      <c r="S137" s="589"/>
      <c r="T137" s="589"/>
      <c r="U137" s="589">
        <f>+Q137-R137+S137-T137</f>
        <v>30700000</v>
      </c>
      <c r="V137" s="590" t="s">
        <v>1991</v>
      </c>
      <c r="W137" s="23">
        <v>61</v>
      </c>
      <c r="X137" s="115" t="s">
        <v>1668</v>
      </c>
      <c r="Y137" s="837">
        <v>293304</v>
      </c>
      <c r="Z137" s="838">
        <v>272744</v>
      </c>
      <c r="AA137" s="838">
        <v>99059</v>
      </c>
      <c r="AB137" s="838">
        <v>36139</v>
      </c>
      <c r="AC137" s="838">
        <v>314186</v>
      </c>
      <c r="AD137" s="838">
        <v>116664</v>
      </c>
      <c r="AE137" s="838">
        <v>3247</v>
      </c>
      <c r="AF137" s="838">
        <v>6804</v>
      </c>
      <c r="AG137" s="838">
        <v>25</v>
      </c>
      <c r="AH137" s="838">
        <v>7</v>
      </c>
      <c r="AI137" s="838">
        <v>0</v>
      </c>
      <c r="AJ137" s="838">
        <v>0</v>
      </c>
      <c r="AK137" s="838">
        <v>50946</v>
      </c>
      <c r="AL137" s="838">
        <v>28554</v>
      </c>
      <c r="AM137" s="838">
        <v>53914</v>
      </c>
      <c r="AN137" s="839">
        <f t="shared" si="2"/>
        <v>566048</v>
      </c>
      <c r="AO137" s="587" t="s">
        <v>1669</v>
      </c>
      <c r="AP137" s="587" t="s">
        <v>1670</v>
      </c>
      <c r="AQ137" s="115" t="s">
        <v>1671</v>
      </c>
    </row>
    <row r="138" spans="1:43" ht="115.5" hidden="1" customHeight="1">
      <c r="A138" s="115">
        <v>1</v>
      </c>
      <c r="B138" s="597" t="s">
        <v>513</v>
      </c>
      <c r="C138" s="584">
        <v>19</v>
      </c>
      <c r="D138" s="115" t="s">
        <v>1559</v>
      </c>
      <c r="E138" s="23">
        <v>1905</v>
      </c>
      <c r="F138" s="115" t="s">
        <v>1659</v>
      </c>
      <c r="G138" s="585" t="s">
        <v>1992</v>
      </c>
      <c r="H138" s="622" t="s">
        <v>491</v>
      </c>
      <c r="I138" s="585" t="s">
        <v>1993</v>
      </c>
      <c r="J138" s="622" t="s">
        <v>1994</v>
      </c>
      <c r="K138" s="608">
        <v>1</v>
      </c>
      <c r="L138" s="115"/>
      <c r="M138" s="115">
        <f t="shared" si="0"/>
        <v>1</v>
      </c>
      <c r="N138" s="587" t="s">
        <v>1995</v>
      </c>
      <c r="O138" s="456" t="s">
        <v>1996</v>
      </c>
      <c r="P138" s="456" t="s">
        <v>1997</v>
      </c>
      <c r="Q138" s="609">
        <v>140000000</v>
      </c>
      <c r="R138" s="589">
        <v>18000000</v>
      </c>
      <c r="S138" s="589"/>
      <c r="T138" s="589"/>
      <c r="U138" s="589">
        <f>+Q138-R138+S138-T138</f>
        <v>122000000</v>
      </c>
      <c r="V138" s="590" t="s">
        <v>1998</v>
      </c>
      <c r="W138" s="23">
        <v>61</v>
      </c>
      <c r="X138" s="115" t="s">
        <v>1668</v>
      </c>
      <c r="Y138" s="599">
        <v>293304</v>
      </c>
      <c r="Z138" s="599">
        <v>272744</v>
      </c>
      <c r="AA138" s="599">
        <v>99059</v>
      </c>
      <c r="AB138" s="599">
        <v>36139</v>
      </c>
      <c r="AC138" s="599">
        <v>314186</v>
      </c>
      <c r="AD138" s="599">
        <v>116664</v>
      </c>
      <c r="AE138" s="599">
        <v>3247</v>
      </c>
      <c r="AF138" s="599">
        <v>6804</v>
      </c>
      <c r="AG138" s="599">
        <v>25</v>
      </c>
      <c r="AH138" s="599">
        <v>7</v>
      </c>
      <c r="AI138" s="591"/>
      <c r="AJ138" s="591">
        <v>2</v>
      </c>
      <c r="AK138" s="599">
        <v>50946</v>
      </c>
      <c r="AL138" s="599">
        <v>28554</v>
      </c>
      <c r="AM138" s="599">
        <v>53914</v>
      </c>
      <c r="AN138" s="599">
        <v>566048</v>
      </c>
      <c r="AO138" s="587" t="s">
        <v>1669</v>
      </c>
      <c r="AP138" s="587" t="s">
        <v>1670</v>
      </c>
      <c r="AQ138" s="115" t="s">
        <v>1671</v>
      </c>
    </row>
    <row r="139" spans="1:43" ht="60.75" hidden="1">
      <c r="A139" s="115">
        <v>1</v>
      </c>
      <c r="B139" s="597" t="s">
        <v>513</v>
      </c>
      <c r="C139" s="584">
        <v>19</v>
      </c>
      <c r="D139" s="115" t="s">
        <v>1559</v>
      </c>
      <c r="E139" s="23">
        <v>1905</v>
      </c>
      <c r="F139" s="115" t="s">
        <v>1659</v>
      </c>
      <c r="G139" s="585" t="s">
        <v>1992</v>
      </c>
      <c r="H139" s="622" t="s">
        <v>491</v>
      </c>
      <c r="I139" s="585" t="s">
        <v>1993</v>
      </c>
      <c r="J139" s="622" t="s">
        <v>1994</v>
      </c>
      <c r="K139" s="608">
        <v>1</v>
      </c>
      <c r="L139" s="115"/>
      <c r="M139" s="115">
        <f t="shared" si="0"/>
        <v>1</v>
      </c>
      <c r="N139" s="587" t="s">
        <v>1995</v>
      </c>
      <c r="O139" s="456" t="s">
        <v>1996</v>
      </c>
      <c r="P139" s="456" t="s">
        <v>1999</v>
      </c>
      <c r="Q139" s="600">
        <v>70000000</v>
      </c>
      <c r="R139" s="589"/>
      <c r="S139" s="589"/>
      <c r="T139" s="589"/>
      <c r="U139" s="589">
        <f>+Q139-R139+S139-T139</f>
        <v>70000000</v>
      </c>
      <c r="V139" s="590" t="s">
        <v>2000</v>
      </c>
      <c r="W139" s="23">
        <v>20</v>
      </c>
      <c r="X139" s="115" t="s">
        <v>67</v>
      </c>
      <c r="Y139" s="599">
        <v>293304</v>
      </c>
      <c r="Z139" s="599">
        <v>272744</v>
      </c>
      <c r="AA139" s="599">
        <v>99059</v>
      </c>
      <c r="AB139" s="599">
        <v>36139</v>
      </c>
      <c r="AC139" s="599">
        <v>314186</v>
      </c>
      <c r="AD139" s="599">
        <v>116664</v>
      </c>
      <c r="AE139" s="599">
        <v>3247</v>
      </c>
      <c r="AF139" s="599">
        <v>6804</v>
      </c>
      <c r="AG139" s="599">
        <v>25</v>
      </c>
      <c r="AH139" s="599">
        <v>7</v>
      </c>
      <c r="AI139" s="591"/>
      <c r="AJ139" s="591">
        <v>2</v>
      </c>
      <c r="AK139" s="599">
        <v>50946</v>
      </c>
      <c r="AL139" s="599">
        <v>28554</v>
      </c>
      <c r="AM139" s="599">
        <v>53914</v>
      </c>
      <c r="AN139" s="599">
        <v>566048</v>
      </c>
      <c r="AO139" s="587" t="s">
        <v>1669</v>
      </c>
      <c r="AP139" s="587" t="s">
        <v>1670</v>
      </c>
      <c r="AQ139" s="115" t="s">
        <v>1671</v>
      </c>
    </row>
    <row r="140" spans="1:43" ht="45.75" hidden="1">
      <c r="A140" s="115">
        <v>1</v>
      </c>
      <c r="B140" s="597" t="s">
        <v>513</v>
      </c>
      <c r="C140" s="584">
        <v>19</v>
      </c>
      <c r="D140" s="115" t="s">
        <v>1559</v>
      </c>
      <c r="E140" s="23">
        <v>1905</v>
      </c>
      <c r="F140" s="115" t="s">
        <v>1659</v>
      </c>
      <c r="G140" s="585" t="s">
        <v>2001</v>
      </c>
      <c r="H140" s="622" t="s">
        <v>1985</v>
      </c>
      <c r="I140" s="585" t="s">
        <v>2002</v>
      </c>
      <c r="J140" s="622" t="s">
        <v>2003</v>
      </c>
      <c r="K140" s="608">
        <v>100</v>
      </c>
      <c r="L140" s="115"/>
      <c r="M140" s="115">
        <f t="shared" si="0"/>
        <v>100</v>
      </c>
      <c r="N140" s="587" t="s">
        <v>1995</v>
      </c>
      <c r="O140" s="456" t="s">
        <v>1996</v>
      </c>
      <c r="P140" s="456" t="s">
        <v>2004</v>
      </c>
      <c r="Q140" s="609">
        <v>177186451.24000001</v>
      </c>
      <c r="R140" s="589">
        <f>10800000+14800000+10800000+14800000+14800000</f>
        <v>66000000</v>
      </c>
      <c r="S140" s="589"/>
      <c r="T140" s="589"/>
      <c r="U140" s="589">
        <f>+Q140-R140+S140-T140</f>
        <v>111186451.24000001</v>
      </c>
      <c r="V140" s="590" t="s">
        <v>2005</v>
      </c>
      <c r="W140" s="23">
        <v>61</v>
      </c>
      <c r="X140" s="115" t="s">
        <v>1668</v>
      </c>
      <c r="Y140" s="599">
        <v>293304</v>
      </c>
      <c r="Z140" s="599">
        <v>272744</v>
      </c>
      <c r="AA140" s="599">
        <v>99059</v>
      </c>
      <c r="AB140" s="599">
        <v>36139</v>
      </c>
      <c r="AC140" s="599">
        <v>314186</v>
      </c>
      <c r="AD140" s="599">
        <v>116664</v>
      </c>
      <c r="AE140" s="599">
        <v>3247</v>
      </c>
      <c r="AF140" s="599">
        <v>6804</v>
      </c>
      <c r="AG140" s="599">
        <v>25</v>
      </c>
      <c r="AH140" s="599">
        <v>7</v>
      </c>
      <c r="AI140" s="591"/>
      <c r="AJ140" s="591">
        <v>2</v>
      </c>
      <c r="AK140" s="599">
        <v>50946</v>
      </c>
      <c r="AL140" s="599">
        <v>28554</v>
      </c>
      <c r="AM140" s="599">
        <v>53914</v>
      </c>
      <c r="AN140" s="599">
        <v>566048</v>
      </c>
      <c r="AO140" s="587" t="s">
        <v>1669</v>
      </c>
      <c r="AP140" s="587" t="s">
        <v>1670</v>
      </c>
      <c r="AQ140" s="115" t="s">
        <v>1671</v>
      </c>
    </row>
    <row r="141" spans="1:43" ht="45.75" hidden="1">
      <c r="A141" s="115">
        <v>1</v>
      </c>
      <c r="B141" s="597" t="s">
        <v>513</v>
      </c>
      <c r="C141" s="584">
        <v>19</v>
      </c>
      <c r="D141" s="115" t="s">
        <v>1559</v>
      </c>
      <c r="E141" s="23">
        <v>1905</v>
      </c>
      <c r="F141" s="115" t="s">
        <v>1659</v>
      </c>
      <c r="G141" s="585" t="s">
        <v>2006</v>
      </c>
      <c r="H141" s="622" t="s">
        <v>162</v>
      </c>
      <c r="I141" s="585" t="s">
        <v>2007</v>
      </c>
      <c r="J141" s="622" t="s">
        <v>2008</v>
      </c>
      <c r="K141" s="608">
        <v>12</v>
      </c>
      <c r="L141" s="115"/>
      <c r="M141" s="115">
        <f t="shared" si="0"/>
        <v>12</v>
      </c>
      <c r="N141" s="587" t="s">
        <v>1995</v>
      </c>
      <c r="O141" s="456" t="s">
        <v>1996</v>
      </c>
      <c r="P141" s="456" t="s">
        <v>2009</v>
      </c>
      <c r="Q141" s="609">
        <v>140000000</v>
      </c>
      <c r="R141" s="589">
        <f>1733333+1850000+1733333+1200000+10800000+18000000+18000000+18000000</f>
        <v>71316666</v>
      </c>
      <c r="S141" s="589"/>
      <c r="T141" s="589"/>
      <c r="U141" s="589">
        <f>+Q141-R141+S141-T141</f>
        <v>68683334</v>
      </c>
      <c r="V141" s="590" t="s">
        <v>2010</v>
      </c>
      <c r="W141" s="23">
        <v>61</v>
      </c>
      <c r="X141" s="115" t="s">
        <v>1668</v>
      </c>
      <c r="Y141" s="599">
        <v>293304</v>
      </c>
      <c r="Z141" s="599">
        <v>272744</v>
      </c>
      <c r="AA141" s="599">
        <v>99059</v>
      </c>
      <c r="AB141" s="599">
        <v>36139</v>
      </c>
      <c r="AC141" s="599">
        <v>314186</v>
      </c>
      <c r="AD141" s="599">
        <v>116664</v>
      </c>
      <c r="AE141" s="599">
        <v>3247</v>
      </c>
      <c r="AF141" s="599">
        <v>6804</v>
      </c>
      <c r="AG141" s="599">
        <v>25</v>
      </c>
      <c r="AH141" s="599">
        <v>7</v>
      </c>
      <c r="AI141" s="591"/>
      <c r="AJ141" s="591">
        <v>2</v>
      </c>
      <c r="AK141" s="599">
        <v>50946</v>
      </c>
      <c r="AL141" s="599">
        <v>28554</v>
      </c>
      <c r="AM141" s="599">
        <v>53914</v>
      </c>
      <c r="AN141" s="599">
        <v>566048</v>
      </c>
      <c r="AO141" s="587" t="s">
        <v>1669</v>
      </c>
      <c r="AP141" s="587" t="s">
        <v>1670</v>
      </c>
      <c r="AQ141" s="115" t="s">
        <v>1671</v>
      </c>
    </row>
    <row r="142" spans="1:43" ht="63.75" hidden="1" customHeight="1">
      <c r="A142" s="115">
        <v>1</v>
      </c>
      <c r="B142" s="597" t="s">
        <v>513</v>
      </c>
      <c r="C142" s="584">
        <v>19</v>
      </c>
      <c r="D142" s="115" t="s">
        <v>1559</v>
      </c>
      <c r="E142" s="23">
        <v>1905</v>
      </c>
      <c r="F142" s="115" t="s">
        <v>1659</v>
      </c>
      <c r="G142" s="585" t="s">
        <v>2011</v>
      </c>
      <c r="H142" s="622" t="s">
        <v>193</v>
      </c>
      <c r="I142" s="585" t="s">
        <v>2012</v>
      </c>
      <c r="J142" s="622" t="s">
        <v>194</v>
      </c>
      <c r="K142" s="608">
        <v>1</v>
      </c>
      <c r="L142" s="115"/>
      <c r="M142" s="115">
        <f t="shared" si="0"/>
        <v>1</v>
      </c>
      <c r="N142" s="587" t="s">
        <v>1995</v>
      </c>
      <c r="O142" s="456" t="s">
        <v>1996</v>
      </c>
      <c r="P142" s="456" t="s">
        <v>2013</v>
      </c>
      <c r="Q142" s="609">
        <v>150000000</v>
      </c>
      <c r="R142" s="589">
        <f>2000000+1466666+18000000+18000000+18000000+18000000</f>
        <v>75466666</v>
      </c>
      <c r="S142" s="589"/>
      <c r="T142" s="589"/>
      <c r="U142" s="589">
        <f>+Q142-R142+S142-T142</f>
        <v>74533334</v>
      </c>
      <c r="V142" s="590" t="s">
        <v>2014</v>
      </c>
      <c r="W142" s="23">
        <v>61</v>
      </c>
      <c r="X142" s="115" t="s">
        <v>1668</v>
      </c>
      <c r="Y142" s="599">
        <v>293304</v>
      </c>
      <c r="Z142" s="599">
        <v>272744</v>
      </c>
      <c r="AA142" s="599">
        <v>99059</v>
      </c>
      <c r="AB142" s="599">
        <v>36139</v>
      </c>
      <c r="AC142" s="599">
        <v>314186</v>
      </c>
      <c r="AD142" s="599">
        <v>116664</v>
      </c>
      <c r="AE142" s="599">
        <v>3247</v>
      </c>
      <c r="AF142" s="599">
        <v>6804</v>
      </c>
      <c r="AG142" s="599">
        <v>25</v>
      </c>
      <c r="AH142" s="599">
        <v>7</v>
      </c>
      <c r="AI142" s="591"/>
      <c r="AJ142" s="591">
        <v>2</v>
      </c>
      <c r="AK142" s="599">
        <v>50946</v>
      </c>
      <c r="AL142" s="599">
        <v>28554</v>
      </c>
      <c r="AM142" s="599">
        <v>53914</v>
      </c>
      <c r="AN142" s="599">
        <v>566048</v>
      </c>
      <c r="AO142" s="587" t="s">
        <v>1669</v>
      </c>
      <c r="AP142" s="587" t="s">
        <v>1670</v>
      </c>
      <c r="AQ142" s="115" t="s">
        <v>1671</v>
      </c>
    </row>
    <row r="143" spans="1:43" ht="45.75" hidden="1">
      <c r="A143" s="115">
        <v>1</v>
      </c>
      <c r="B143" s="597" t="s">
        <v>513</v>
      </c>
      <c r="C143" s="584">
        <v>19</v>
      </c>
      <c r="D143" s="115" t="s">
        <v>1559</v>
      </c>
      <c r="E143" s="23">
        <v>1905</v>
      </c>
      <c r="F143" s="115" t="s">
        <v>1659</v>
      </c>
      <c r="G143" s="585" t="s">
        <v>2011</v>
      </c>
      <c r="H143" s="622" t="s">
        <v>193</v>
      </c>
      <c r="I143" s="585" t="s">
        <v>2012</v>
      </c>
      <c r="J143" s="622" t="s">
        <v>194</v>
      </c>
      <c r="K143" s="608">
        <v>1</v>
      </c>
      <c r="L143" s="115"/>
      <c r="M143" s="115">
        <f t="shared" si="0"/>
        <v>1</v>
      </c>
      <c r="N143" s="587" t="s">
        <v>1995</v>
      </c>
      <c r="O143" s="456" t="s">
        <v>1996</v>
      </c>
      <c r="P143" s="456" t="s">
        <v>2015</v>
      </c>
      <c r="Q143" s="600">
        <v>20000000</v>
      </c>
      <c r="R143" s="589"/>
      <c r="S143" s="589"/>
      <c r="T143" s="589"/>
      <c r="U143" s="589">
        <f>+Q143-R143+S143-T143</f>
        <v>20000000</v>
      </c>
      <c r="V143" s="590" t="s">
        <v>2016</v>
      </c>
      <c r="W143" s="23">
        <v>20</v>
      </c>
      <c r="X143" s="115" t="s">
        <v>67</v>
      </c>
      <c r="Y143" s="599">
        <v>293304</v>
      </c>
      <c r="Z143" s="599">
        <v>272744</v>
      </c>
      <c r="AA143" s="599">
        <v>99059</v>
      </c>
      <c r="AB143" s="599">
        <v>36139</v>
      </c>
      <c r="AC143" s="599">
        <v>314186</v>
      </c>
      <c r="AD143" s="599">
        <v>116664</v>
      </c>
      <c r="AE143" s="599">
        <v>3247</v>
      </c>
      <c r="AF143" s="599">
        <v>6804</v>
      </c>
      <c r="AG143" s="599">
        <v>25</v>
      </c>
      <c r="AH143" s="599">
        <v>7</v>
      </c>
      <c r="AI143" s="591"/>
      <c r="AJ143" s="591">
        <v>2</v>
      </c>
      <c r="AK143" s="599">
        <v>50946</v>
      </c>
      <c r="AL143" s="599">
        <v>28554</v>
      </c>
      <c r="AM143" s="599">
        <v>53914</v>
      </c>
      <c r="AN143" s="599">
        <v>566048</v>
      </c>
      <c r="AO143" s="587" t="s">
        <v>1669</v>
      </c>
      <c r="AP143" s="587" t="s">
        <v>1670</v>
      </c>
      <c r="AQ143" s="115" t="s">
        <v>1671</v>
      </c>
    </row>
    <row r="144" spans="1:43" ht="45.75" hidden="1">
      <c r="A144" s="115">
        <v>1</v>
      </c>
      <c r="B144" s="597" t="s">
        <v>513</v>
      </c>
      <c r="C144" s="584">
        <v>19</v>
      </c>
      <c r="D144" s="115" t="s">
        <v>1559</v>
      </c>
      <c r="E144" s="23">
        <v>1903</v>
      </c>
      <c r="F144" s="115" t="s">
        <v>2017</v>
      </c>
      <c r="G144" s="593">
        <v>1903010</v>
      </c>
      <c r="H144" s="594" t="s">
        <v>2018</v>
      </c>
      <c r="I144" s="585">
        <v>190301000</v>
      </c>
      <c r="J144" s="595" t="s">
        <v>2019</v>
      </c>
      <c r="K144" s="457">
        <v>10</v>
      </c>
      <c r="L144" s="115"/>
      <c r="M144" s="115">
        <f t="shared" si="0"/>
        <v>10</v>
      </c>
      <c r="N144" s="587" t="s">
        <v>2020</v>
      </c>
      <c r="O144" s="456" t="s">
        <v>2021</v>
      </c>
      <c r="P144" s="456" t="s">
        <v>2022</v>
      </c>
      <c r="Q144" s="623">
        <v>21000000</v>
      </c>
      <c r="R144" s="589"/>
      <c r="S144" s="589"/>
      <c r="T144" s="589"/>
      <c r="U144" s="589">
        <f>+Q144-R144+S144-T144</f>
        <v>21000000</v>
      </c>
      <c r="V144" s="590" t="s">
        <v>2023</v>
      </c>
      <c r="W144" s="624">
        <v>20</v>
      </c>
      <c r="X144" s="115" t="s">
        <v>67</v>
      </c>
      <c r="Y144" s="591">
        <v>293304</v>
      </c>
      <c r="Z144" s="591">
        <v>272744</v>
      </c>
      <c r="AA144" s="591">
        <v>99059</v>
      </c>
      <c r="AB144" s="591">
        <v>36139</v>
      </c>
      <c r="AC144" s="591">
        <v>314186</v>
      </c>
      <c r="AD144" s="591">
        <v>116664</v>
      </c>
      <c r="AE144" s="591">
        <v>3247</v>
      </c>
      <c r="AF144" s="591">
        <v>6804</v>
      </c>
      <c r="AG144" s="591">
        <v>25</v>
      </c>
      <c r="AH144" s="591">
        <v>7</v>
      </c>
      <c r="AI144" s="591">
        <v>0</v>
      </c>
      <c r="AJ144" s="591">
        <v>0</v>
      </c>
      <c r="AK144" s="591">
        <v>50946</v>
      </c>
      <c r="AL144" s="591">
        <v>28554</v>
      </c>
      <c r="AM144" s="591">
        <v>53914</v>
      </c>
      <c r="AN144" s="592">
        <f t="shared" ref="AN144:AN150" si="3">Y144+Z144</f>
        <v>566048</v>
      </c>
      <c r="AO144" s="587" t="s">
        <v>1669</v>
      </c>
      <c r="AP144" s="587" t="s">
        <v>1670</v>
      </c>
      <c r="AQ144" s="115" t="s">
        <v>1671</v>
      </c>
    </row>
    <row r="145" spans="1:43" ht="60.75" hidden="1">
      <c r="A145" s="115">
        <v>1</v>
      </c>
      <c r="B145" s="597" t="s">
        <v>513</v>
      </c>
      <c r="C145" s="584">
        <v>19</v>
      </c>
      <c r="D145" s="115" t="s">
        <v>1559</v>
      </c>
      <c r="E145" s="23">
        <v>1903</v>
      </c>
      <c r="F145" s="115" t="s">
        <v>2017</v>
      </c>
      <c r="G145" s="593">
        <v>1903019</v>
      </c>
      <c r="H145" s="594" t="s">
        <v>2024</v>
      </c>
      <c r="I145" s="585">
        <v>190301900</v>
      </c>
      <c r="J145" s="595" t="s">
        <v>2025</v>
      </c>
      <c r="K145" s="457">
        <v>30</v>
      </c>
      <c r="L145" s="115"/>
      <c r="M145" s="115">
        <f t="shared" si="0"/>
        <v>30</v>
      </c>
      <c r="N145" s="587" t="s">
        <v>2020</v>
      </c>
      <c r="O145" s="456" t="s">
        <v>2021</v>
      </c>
      <c r="P145" s="456" t="s">
        <v>2026</v>
      </c>
      <c r="Q145" s="623">
        <v>21000000</v>
      </c>
      <c r="R145" s="589"/>
      <c r="S145" s="589"/>
      <c r="T145" s="589"/>
      <c r="U145" s="589">
        <f>+Q145-R145+S145-T145</f>
        <v>21000000</v>
      </c>
      <c r="V145" s="590" t="s">
        <v>2027</v>
      </c>
      <c r="W145" s="624">
        <v>20</v>
      </c>
      <c r="X145" s="115" t="s">
        <v>67</v>
      </c>
      <c r="Y145" s="591">
        <v>293304</v>
      </c>
      <c r="Z145" s="591">
        <v>272744</v>
      </c>
      <c r="AA145" s="591">
        <v>99059</v>
      </c>
      <c r="AB145" s="591">
        <v>36139</v>
      </c>
      <c r="AC145" s="591">
        <v>314186</v>
      </c>
      <c r="AD145" s="591">
        <v>116664</v>
      </c>
      <c r="AE145" s="591">
        <v>3247</v>
      </c>
      <c r="AF145" s="591">
        <v>6804</v>
      </c>
      <c r="AG145" s="591">
        <v>25</v>
      </c>
      <c r="AH145" s="591">
        <v>7</v>
      </c>
      <c r="AI145" s="591">
        <v>0</v>
      </c>
      <c r="AJ145" s="591">
        <v>0</v>
      </c>
      <c r="AK145" s="591">
        <v>50946</v>
      </c>
      <c r="AL145" s="591">
        <v>28554</v>
      </c>
      <c r="AM145" s="591">
        <v>53914</v>
      </c>
      <c r="AN145" s="592">
        <f t="shared" si="3"/>
        <v>566048</v>
      </c>
      <c r="AO145" s="587" t="s">
        <v>1669</v>
      </c>
      <c r="AP145" s="587" t="s">
        <v>1670</v>
      </c>
      <c r="AQ145" s="115" t="s">
        <v>1671</v>
      </c>
    </row>
    <row r="146" spans="1:43" ht="60.75" hidden="1">
      <c r="A146" s="115">
        <v>1</v>
      </c>
      <c r="B146" s="597" t="s">
        <v>513</v>
      </c>
      <c r="C146" s="584">
        <v>19</v>
      </c>
      <c r="D146" s="115" t="s">
        <v>1559</v>
      </c>
      <c r="E146" s="23">
        <v>1903</v>
      </c>
      <c r="F146" s="115" t="s">
        <v>2017</v>
      </c>
      <c r="G146" s="593">
        <v>1903025</v>
      </c>
      <c r="H146" s="594" t="s">
        <v>2028</v>
      </c>
      <c r="I146" s="585">
        <v>190302500</v>
      </c>
      <c r="J146" s="595" t="s">
        <v>2029</v>
      </c>
      <c r="K146" s="444">
        <v>12</v>
      </c>
      <c r="L146" s="115"/>
      <c r="M146" s="115">
        <f t="shared" si="0"/>
        <v>12</v>
      </c>
      <c r="N146" s="587" t="s">
        <v>2020</v>
      </c>
      <c r="O146" s="456" t="s">
        <v>2021</v>
      </c>
      <c r="P146" s="456" t="s">
        <v>2030</v>
      </c>
      <c r="Q146" s="600">
        <v>80000000</v>
      </c>
      <c r="R146" s="589">
        <f>14800000+10800000</f>
        <v>25600000</v>
      </c>
      <c r="S146" s="589"/>
      <c r="T146" s="589"/>
      <c r="U146" s="589">
        <f>+Q146-R146+S146-T146</f>
        <v>54400000</v>
      </c>
      <c r="V146" s="590" t="s">
        <v>2031</v>
      </c>
      <c r="W146" s="624">
        <v>20</v>
      </c>
      <c r="X146" s="115" t="s">
        <v>67</v>
      </c>
      <c r="Y146" s="591">
        <v>293304</v>
      </c>
      <c r="Z146" s="591">
        <v>272744</v>
      </c>
      <c r="AA146" s="591">
        <v>99059</v>
      </c>
      <c r="AB146" s="591">
        <v>36139</v>
      </c>
      <c r="AC146" s="591">
        <v>314186</v>
      </c>
      <c r="AD146" s="591">
        <v>116664</v>
      </c>
      <c r="AE146" s="591">
        <v>3247</v>
      </c>
      <c r="AF146" s="591">
        <v>6804</v>
      </c>
      <c r="AG146" s="591">
        <v>25</v>
      </c>
      <c r="AH146" s="591">
        <v>7</v>
      </c>
      <c r="AI146" s="591">
        <v>0</v>
      </c>
      <c r="AJ146" s="591">
        <v>0</v>
      </c>
      <c r="AK146" s="591">
        <v>50946</v>
      </c>
      <c r="AL146" s="591">
        <v>28554</v>
      </c>
      <c r="AM146" s="591">
        <v>53914</v>
      </c>
      <c r="AN146" s="592">
        <f t="shared" si="3"/>
        <v>566048</v>
      </c>
      <c r="AO146" s="587" t="s">
        <v>1669</v>
      </c>
      <c r="AP146" s="587" t="s">
        <v>1670</v>
      </c>
      <c r="AQ146" s="115" t="s">
        <v>1671</v>
      </c>
    </row>
    <row r="147" spans="1:43" ht="45.75" hidden="1">
      <c r="A147" s="115">
        <v>1</v>
      </c>
      <c r="B147" s="597" t="s">
        <v>513</v>
      </c>
      <c r="C147" s="584">
        <v>19</v>
      </c>
      <c r="D147" s="115" t="s">
        <v>1559</v>
      </c>
      <c r="E147" s="23">
        <v>1903</v>
      </c>
      <c r="F147" s="115" t="s">
        <v>2017</v>
      </c>
      <c r="G147" s="593">
        <v>1903028</v>
      </c>
      <c r="H147" s="594" t="s">
        <v>2032</v>
      </c>
      <c r="I147" s="585">
        <v>190302800</v>
      </c>
      <c r="J147" s="595" t="s">
        <v>2033</v>
      </c>
      <c r="K147" s="444">
        <v>75</v>
      </c>
      <c r="L147" s="115"/>
      <c r="M147" s="115">
        <f t="shared" si="0"/>
        <v>75</v>
      </c>
      <c r="N147" s="587" t="s">
        <v>2020</v>
      </c>
      <c r="O147" s="456" t="s">
        <v>2021</v>
      </c>
      <c r="P147" s="456" t="s">
        <v>2034</v>
      </c>
      <c r="Q147" s="600">
        <v>80000000</v>
      </c>
      <c r="R147" s="589">
        <f>14800000+10800000+16000000</f>
        <v>41600000</v>
      </c>
      <c r="S147" s="589"/>
      <c r="T147" s="589"/>
      <c r="U147" s="589">
        <f>+Q147-R147+S147-T147</f>
        <v>38400000</v>
      </c>
      <c r="V147" s="590" t="s">
        <v>2035</v>
      </c>
      <c r="W147" s="624">
        <v>20</v>
      </c>
      <c r="X147" s="115" t="s">
        <v>67</v>
      </c>
      <c r="Y147" s="591">
        <v>293304</v>
      </c>
      <c r="Z147" s="591">
        <v>272744</v>
      </c>
      <c r="AA147" s="591">
        <v>99059</v>
      </c>
      <c r="AB147" s="591">
        <v>36139</v>
      </c>
      <c r="AC147" s="591">
        <v>314186</v>
      </c>
      <c r="AD147" s="591">
        <v>116664</v>
      </c>
      <c r="AE147" s="591">
        <v>3247</v>
      </c>
      <c r="AF147" s="591">
        <v>6804</v>
      </c>
      <c r="AG147" s="591">
        <v>25</v>
      </c>
      <c r="AH147" s="591">
        <v>7</v>
      </c>
      <c r="AI147" s="591">
        <v>0</v>
      </c>
      <c r="AJ147" s="591">
        <v>0</v>
      </c>
      <c r="AK147" s="591">
        <v>50946</v>
      </c>
      <c r="AL147" s="591">
        <v>28554</v>
      </c>
      <c r="AM147" s="591">
        <v>53914</v>
      </c>
      <c r="AN147" s="592">
        <f t="shared" si="3"/>
        <v>566048</v>
      </c>
      <c r="AO147" s="587" t="s">
        <v>1669</v>
      </c>
      <c r="AP147" s="587" t="s">
        <v>1670</v>
      </c>
      <c r="AQ147" s="115" t="s">
        <v>1671</v>
      </c>
    </row>
    <row r="148" spans="1:43" ht="45.75" hidden="1">
      <c r="A148" s="115">
        <v>1</v>
      </c>
      <c r="B148" s="597" t="s">
        <v>513</v>
      </c>
      <c r="C148" s="584">
        <v>19</v>
      </c>
      <c r="D148" s="115" t="s">
        <v>1559</v>
      </c>
      <c r="E148" s="23">
        <v>1903</v>
      </c>
      <c r="F148" s="115" t="s">
        <v>2017</v>
      </c>
      <c r="G148" s="593">
        <v>1903047</v>
      </c>
      <c r="H148" s="594" t="s">
        <v>2036</v>
      </c>
      <c r="I148" s="585">
        <v>190304700</v>
      </c>
      <c r="J148" s="595" t="s">
        <v>2037</v>
      </c>
      <c r="K148" s="625">
        <v>2</v>
      </c>
      <c r="L148" s="115"/>
      <c r="M148" s="115">
        <f t="shared" si="0"/>
        <v>2</v>
      </c>
      <c r="N148" s="587" t="s">
        <v>2020</v>
      </c>
      <c r="O148" s="456" t="s">
        <v>2021</v>
      </c>
      <c r="P148" s="456" t="s">
        <v>2038</v>
      </c>
      <c r="Q148" s="600">
        <v>31000000</v>
      </c>
      <c r="R148" s="589"/>
      <c r="S148" s="589"/>
      <c r="T148" s="589"/>
      <c r="U148" s="589">
        <f>+Q148-R148+S148-T148</f>
        <v>31000000</v>
      </c>
      <c r="V148" s="590" t="s">
        <v>2039</v>
      </c>
      <c r="W148" s="624">
        <v>20</v>
      </c>
      <c r="X148" s="115" t="s">
        <v>67</v>
      </c>
      <c r="Y148" s="591">
        <v>293304</v>
      </c>
      <c r="Z148" s="591">
        <v>272744</v>
      </c>
      <c r="AA148" s="591">
        <v>99059</v>
      </c>
      <c r="AB148" s="591">
        <v>36139</v>
      </c>
      <c r="AC148" s="591">
        <v>314186</v>
      </c>
      <c r="AD148" s="591">
        <v>116664</v>
      </c>
      <c r="AE148" s="591">
        <v>3247</v>
      </c>
      <c r="AF148" s="591">
        <v>6804</v>
      </c>
      <c r="AG148" s="591">
        <v>25</v>
      </c>
      <c r="AH148" s="591">
        <v>7</v>
      </c>
      <c r="AI148" s="591">
        <v>0</v>
      </c>
      <c r="AJ148" s="591">
        <v>0</v>
      </c>
      <c r="AK148" s="591">
        <v>50946</v>
      </c>
      <c r="AL148" s="591">
        <v>28554</v>
      </c>
      <c r="AM148" s="591">
        <v>53914</v>
      </c>
      <c r="AN148" s="592">
        <f t="shared" si="3"/>
        <v>566048</v>
      </c>
      <c r="AO148" s="587" t="s">
        <v>1669</v>
      </c>
      <c r="AP148" s="587" t="s">
        <v>1670</v>
      </c>
      <c r="AQ148" s="115" t="s">
        <v>1671</v>
      </c>
    </row>
    <row r="149" spans="1:43" ht="45.75" hidden="1">
      <c r="A149" s="115">
        <v>1</v>
      </c>
      <c r="B149" s="597" t="s">
        <v>513</v>
      </c>
      <c r="C149" s="584">
        <v>19</v>
      </c>
      <c r="D149" s="115" t="s">
        <v>1559</v>
      </c>
      <c r="E149" s="23">
        <v>1903</v>
      </c>
      <c r="F149" s="115" t="s">
        <v>2017</v>
      </c>
      <c r="G149" s="593">
        <v>1903047</v>
      </c>
      <c r="H149" s="594" t="s">
        <v>2036</v>
      </c>
      <c r="I149" s="585">
        <v>190304701</v>
      </c>
      <c r="J149" s="595" t="s">
        <v>2040</v>
      </c>
      <c r="K149" s="625">
        <v>2</v>
      </c>
      <c r="L149" s="115"/>
      <c r="M149" s="115">
        <f t="shared" si="0"/>
        <v>2</v>
      </c>
      <c r="N149" s="587" t="s">
        <v>2020</v>
      </c>
      <c r="O149" s="456" t="s">
        <v>2021</v>
      </c>
      <c r="P149" s="456" t="s">
        <v>2041</v>
      </c>
      <c r="Q149" s="600">
        <v>23000000</v>
      </c>
      <c r="R149" s="589">
        <v>12000000</v>
      </c>
      <c r="S149" s="589"/>
      <c r="T149" s="589"/>
      <c r="U149" s="589">
        <f>+Q149-R149+S149-T149</f>
        <v>11000000</v>
      </c>
      <c r="V149" s="590" t="s">
        <v>2039</v>
      </c>
      <c r="W149" s="624">
        <v>20</v>
      </c>
      <c r="X149" s="115" t="s">
        <v>67</v>
      </c>
      <c r="Y149" s="591">
        <v>293304</v>
      </c>
      <c r="Z149" s="591">
        <v>272744</v>
      </c>
      <c r="AA149" s="591">
        <v>99059</v>
      </c>
      <c r="AB149" s="591">
        <v>36139</v>
      </c>
      <c r="AC149" s="591">
        <v>314186</v>
      </c>
      <c r="AD149" s="591">
        <v>116664</v>
      </c>
      <c r="AE149" s="591">
        <v>3247</v>
      </c>
      <c r="AF149" s="591">
        <v>6804</v>
      </c>
      <c r="AG149" s="591">
        <v>25</v>
      </c>
      <c r="AH149" s="591">
        <v>7</v>
      </c>
      <c r="AI149" s="591">
        <v>0</v>
      </c>
      <c r="AJ149" s="591">
        <v>0</v>
      </c>
      <c r="AK149" s="591">
        <v>50946</v>
      </c>
      <c r="AL149" s="591">
        <v>28554</v>
      </c>
      <c r="AM149" s="591">
        <v>53914</v>
      </c>
      <c r="AN149" s="592">
        <f t="shared" si="3"/>
        <v>566048</v>
      </c>
      <c r="AO149" s="587" t="s">
        <v>1669</v>
      </c>
      <c r="AP149" s="587" t="s">
        <v>1670</v>
      </c>
      <c r="AQ149" s="115" t="s">
        <v>1671</v>
      </c>
    </row>
    <row r="150" spans="1:43" ht="60.75" hidden="1">
      <c r="A150" s="115">
        <v>1</v>
      </c>
      <c r="B150" s="597" t="s">
        <v>513</v>
      </c>
      <c r="C150" s="584">
        <v>19</v>
      </c>
      <c r="D150" s="115" t="s">
        <v>1559</v>
      </c>
      <c r="E150" s="23">
        <v>1905</v>
      </c>
      <c r="F150" s="115" t="s">
        <v>1977</v>
      </c>
      <c r="G150" s="593">
        <v>1905012</v>
      </c>
      <c r="H150" s="594" t="s">
        <v>2042</v>
      </c>
      <c r="I150" s="585">
        <v>190501200</v>
      </c>
      <c r="J150" s="595" t="s">
        <v>2042</v>
      </c>
      <c r="K150" s="608">
        <v>1</v>
      </c>
      <c r="L150" s="115"/>
      <c r="M150" s="115">
        <f t="shared" si="0"/>
        <v>1</v>
      </c>
      <c r="N150" s="587" t="s">
        <v>2043</v>
      </c>
      <c r="O150" s="456" t="s">
        <v>2044</v>
      </c>
      <c r="P150" s="456" t="s">
        <v>2045</v>
      </c>
      <c r="Q150" s="626">
        <v>26000000</v>
      </c>
      <c r="R150" s="589"/>
      <c r="S150" s="589"/>
      <c r="T150" s="589"/>
      <c r="U150" s="589">
        <f>+Q150-R150+S150-T150</f>
        <v>26000000</v>
      </c>
      <c r="V150" s="590" t="s">
        <v>2046</v>
      </c>
      <c r="W150" s="23">
        <v>61</v>
      </c>
      <c r="X150" s="115" t="s">
        <v>1668</v>
      </c>
      <c r="Y150" s="840">
        <v>293304</v>
      </c>
      <c r="Z150" s="841">
        <v>272744</v>
      </c>
      <c r="AA150" s="841">
        <v>99059</v>
      </c>
      <c r="AB150" s="841">
        <v>36139</v>
      </c>
      <c r="AC150" s="841">
        <v>314186</v>
      </c>
      <c r="AD150" s="841">
        <v>116664</v>
      </c>
      <c r="AE150" s="841">
        <v>3247</v>
      </c>
      <c r="AF150" s="841">
        <v>6804</v>
      </c>
      <c r="AG150" s="841">
        <v>25</v>
      </c>
      <c r="AH150" s="841">
        <v>7</v>
      </c>
      <c r="AI150" s="841">
        <v>0</v>
      </c>
      <c r="AJ150" s="841">
        <v>0</v>
      </c>
      <c r="AK150" s="841">
        <v>50946</v>
      </c>
      <c r="AL150" s="841">
        <v>28554</v>
      </c>
      <c r="AM150" s="841">
        <v>53914</v>
      </c>
      <c r="AN150" s="841">
        <f t="shared" si="3"/>
        <v>566048</v>
      </c>
      <c r="AO150" s="587" t="s">
        <v>1669</v>
      </c>
      <c r="AP150" s="587" t="s">
        <v>1670</v>
      </c>
      <c r="AQ150" s="115" t="s">
        <v>1671</v>
      </c>
    </row>
    <row r="151" spans="1:43" ht="60.75" hidden="1">
      <c r="A151" s="115">
        <v>1</v>
      </c>
      <c r="B151" s="597" t="s">
        <v>513</v>
      </c>
      <c r="C151" s="584">
        <v>19</v>
      </c>
      <c r="D151" s="115" t="s">
        <v>1559</v>
      </c>
      <c r="E151" s="23">
        <v>1905</v>
      </c>
      <c r="F151" s="115" t="s">
        <v>1977</v>
      </c>
      <c r="G151" s="593">
        <v>1905012</v>
      </c>
      <c r="H151" s="594" t="s">
        <v>2042</v>
      </c>
      <c r="I151" s="585">
        <v>190501200</v>
      </c>
      <c r="J151" s="595" t="s">
        <v>2042</v>
      </c>
      <c r="K151" s="608">
        <v>1</v>
      </c>
      <c r="L151" s="115"/>
      <c r="M151" s="115">
        <f t="shared" si="0"/>
        <v>1</v>
      </c>
      <c r="N151" s="587" t="s">
        <v>2043</v>
      </c>
      <c r="O151" s="456" t="s">
        <v>2044</v>
      </c>
      <c r="P151" s="456" t="s">
        <v>2047</v>
      </c>
      <c r="Q151" s="626">
        <v>33000000</v>
      </c>
      <c r="R151" s="589"/>
      <c r="S151" s="589"/>
      <c r="T151" s="589"/>
      <c r="U151" s="589">
        <f>+Q151-R151+S151-T151</f>
        <v>33000000</v>
      </c>
      <c r="V151" s="590" t="s">
        <v>2048</v>
      </c>
      <c r="W151" s="23">
        <v>20</v>
      </c>
      <c r="X151" s="115" t="s">
        <v>67</v>
      </c>
      <c r="Y151" s="840">
        <v>293304</v>
      </c>
      <c r="Z151" s="841">
        <v>272744</v>
      </c>
      <c r="AA151" s="841">
        <v>99059</v>
      </c>
      <c r="AB151" s="841">
        <v>36139</v>
      </c>
      <c r="AC151" s="841">
        <v>314186</v>
      </c>
      <c r="AD151" s="841">
        <v>116664</v>
      </c>
      <c r="AE151" s="841">
        <v>3247</v>
      </c>
      <c r="AF151" s="841">
        <v>6804</v>
      </c>
      <c r="AG151" s="841">
        <v>25</v>
      </c>
      <c r="AH151" s="841">
        <v>7</v>
      </c>
      <c r="AI151" s="841">
        <v>0</v>
      </c>
      <c r="AJ151" s="841">
        <v>0</v>
      </c>
      <c r="AK151" s="841">
        <v>50946</v>
      </c>
      <c r="AL151" s="841">
        <v>28554</v>
      </c>
      <c r="AM151" s="841">
        <v>53914</v>
      </c>
      <c r="AN151" s="841">
        <f t="shared" ref="AN151:AN182" si="4">Y151+Z151</f>
        <v>566048</v>
      </c>
      <c r="AO151" s="587" t="s">
        <v>1669</v>
      </c>
      <c r="AP151" s="587" t="s">
        <v>1670</v>
      </c>
      <c r="AQ151" s="115" t="s">
        <v>1671</v>
      </c>
    </row>
    <row r="152" spans="1:43" ht="91.5" hidden="1">
      <c r="A152" s="115">
        <v>1</v>
      </c>
      <c r="B152" s="597" t="s">
        <v>513</v>
      </c>
      <c r="C152" s="584">
        <v>19</v>
      </c>
      <c r="D152" s="115" t="s">
        <v>1559</v>
      </c>
      <c r="E152" s="23">
        <v>1905</v>
      </c>
      <c r="F152" s="115" t="s">
        <v>1977</v>
      </c>
      <c r="G152" s="593">
        <v>1905013</v>
      </c>
      <c r="H152" s="594" t="s">
        <v>2049</v>
      </c>
      <c r="I152" s="585">
        <v>190501300</v>
      </c>
      <c r="J152" s="595" t="s">
        <v>2049</v>
      </c>
      <c r="K152" s="627">
        <v>1</v>
      </c>
      <c r="L152" s="115"/>
      <c r="M152" s="115">
        <f t="shared" ref="M152:M215" si="5">+K152+L152</f>
        <v>1</v>
      </c>
      <c r="N152" s="587" t="s">
        <v>2043</v>
      </c>
      <c r="O152" s="456" t="s">
        <v>2044</v>
      </c>
      <c r="P152" s="456" t="s">
        <v>2050</v>
      </c>
      <c r="Q152" s="626">
        <v>30000000</v>
      </c>
      <c r="R152" s="589"/>
      <c r="S152" s="589"/>
      <c r="T152" s="589"/>
      <c r="U152" s="589">
        <f>+Q152-R152+S152-T152</f>
        <v>30000000</v>
      </c>
      <c r="V152" s="590" t="s">
        <v>2051</v>
      </c>
      <c r="W152" s="23">
        <v>61</v>
      </c>
      <c r="X152" s="115" t="s">
        <v>1668</v>
      </c>
      <c r="Y152" s="840">
        <v>293304</v>
      </c>
      <c r="Z152" s="841">
        <v>272744</v>
      </c>
      <c r="AA152" s="841">
        <v>99059</v>
      </c>
      <c r="AB152" s="841">
        <v>36139</v>
      </c>
      <c r="AC152" s="841">
        <v>314186</v>
      </c>
      <c r="AD152" s="841">
        <v>116664</v>
      </c>
      <c r="AE152" s="841">
        <v>3247</v>
      </c>
      <c r="AF152" s="841">
        <v>6804</v>
      </c>
      <c r="AG152" s="841">
        <v>25</v>
      </c>
      <c r="AH152" s="841">
        <v>7</v>
      </c>
      <c r="AI152" s="841">
        <v>0</v>
      </c>
      <c r="AJ152" s="841">
        <v>0</v>
      </c>
      <c r="AK152" s="841">
        <v>50946</v>
      </c>
      <c r="AL152" s="841">
        <v>28554</v>
      </c>
      <c r="AM152" s="841">
        <v>53914</v>
      </c>
      <c r="AN152" s="841">
        <f t="shared" si="4"/>
        <v>566048</v>
      </c>
      <c r="AO152" s="587" t="s">
        <v>1669</v>
      </c>
      <c r="AP152" s="587" t="s">
        <v>1670</v>
      </c>
      <c r="AQ152" s="115" t="s">
        <v>1671</v>
      </c>
    </row>
    <row r="153" spans="1:43" ht="91.5" hidden="1">
      <c r="A153" s="115">
        <v>1</v>
      </c>
      <c r="B153" s="597" t="s">
        <v>513</v>
      </c>
      <c r="C153" s="584">
        <v>19</v>
      </c>
      <c r="D153" s="115" t="s">
        <v>1559</v>
      </c>
      <c r="E153" s="23">
        <v>1905</v>
      </c>
      <c r="F153" s="115" t="s">
        <v>1977</v>
      </c>
      <c r="G153" s="593">
        <v>1905026</v>
      </c>
      <c r="H153" s="628" t="s">
        <v>2052</v>
      </c>
      <c r="I153" s="585" t="s">
        <v>2053</v>
      </c>
      <c r="J153" s="595" t="s">
        <v>2054</v>
      </c>
      <c r="K153" s="608">
        <v>11</v>
      </c>
      <c r="L153" s="115"/>
      <c r="M153" s="115">
        <f t="shared" si="5"/>
        <v>11</v>
      </c>
      <c r="N153" s="587" t="s">
        <v>2043</v>
      </c>
      <c r="O153" s="456" t="s">
        <v>2044</v>
      </c>
      <c r="P153" s="456" t="s">
        <v>2055</v>
      </c>
      <c r="Q153" s="626">
        <v>97358375.340000004</v>
      </c>
      <c r="R153" s="589"/>
      <c r="S153" s="589"/>
      <c r="T153" s="589"/>
      <c r="U153" s="589">
        <f>+Q153-R153+S153-T153</f>
        <v>97358375.340000004</v>
      </c>
      <c r="V153" s="590" t="s">
        <v>2056</v>
      </c>
      <c r="W153" s="23">
        <v>61</v>
      </c>
      <c r="X153" s="115" t="s">
        <v>1668</v>
      </c>
      <c r="Y153" s="840">
        <v>293304</v>
      </c>
      <c r="Z153" s="841">
        <v>272744</v>
      </c>
      <c r="AA153" s="841">
        <v>99059</v>
      </c>
      <c r="AB153" s="841">
        <v>36139</v>
      </c>
      <c r="AC153" s="841">
        <v>314186</v>
      </c>
      <c r="AD153" s="841">
        <v>116664</v>
      </c>
      <c r="AE153" s="841">
        <v>3247</v>
      </c>
      <c r="AF153" s="841">
        <v>6804</v>
      </c>
      <c r="AG153" s="841">
        <v>25</v>
      </c>
      <c r="AH153" s="841">
        <v>7</v>
      </c>
      <c r="AI153" s="841">
        <v>0</v>
      </c>
      <c r="AJ153" s="841">
        <v>0</v>
      </c>
      <c r="AK153" s="841">
        <v>50946</v>
      </c>
      <c r="AL153" s="841">
        <v>28554</v>
      </c>
      <c r="AM153" s="841">
        <v>53914</v>
      </c>
      <c r="AN153" s="841">
        <f t="shared" si="4"/>
        <v>566048</v>
      </c>
      <c r="AO153" s="587" t="s">
        <v>1669</v>
      </c>
      <c r="AP153" s="587" t="s">
        <v>1670</v>
      </c>
      <c r="AQ153" s="115" t="s">
        <v>1671</v>
      </c>
    </row>
    <row r="154" spans="1:43" ht="60.75" hidden="1">
      <c r="A154" s="115">
        <v>1</v>
      </c>
      <c r="B154" s="597" t="s">
        <v>513</v>
      </c>
      <c r="C154" s="584">
        <v>19</v>
      </c>
      <c r="D154" s="115" t="s">
        <v>1559</v>
      </c>
      <c r="E154" s="23">
        <v>1905</v>
      </c>
      <c r="F154" s="115" t="s">
        <v>1977</v>
      </c>
      <c r="G154" s="593">
        <v>1905027</v>
      </c>
      <c r="H154" s="628" t="s">
        <v>2057</v>
      </c>
      <c r="I154" s="585">
        <v>190502700</v>
      </c>
      <c r="J154" s="595" t="s">
        <v>2058</v>
      </c>
      <c r="K154" s="629">
        <v>11</v>
      </c>
      <c r="L154" s="115"/>
      <c r="M154" s="115">
        <f t="shared" si="5"/>
        <v>11</v>
      </c>
      <c r="N154" s="587" t="s">
        <v>2043</v>
      </c>
      <c r="O154" s="456" t="s">
        <v>2044</v>
      </c>
      <c r="P154" s="456" t="s">
        <v>2059</v>
      </c>
      <c r="Q154" s="626">
        <v>35000000</v>
      </c>
      <c r="R154" s="589">
        <v>14800000</v>
      </c>
      <c r="S154" s="589"/>
      <c r="T154" s="589"/>
      <c r="U154" s="589">
        <f>+Q154-R154+S154-T154</f>
        <v>20200000</v>
      </c>
      <c r="V154" s="590" t="s">
        <v>2060</v>
      </c>
      <c r="W154" s="23">
        <v>61</v>
      </c>
      <c r="X154" s="115" t="s">
        <v>1668</v>
      </c>
      <c r="Y154" s="840">
        <v>293304</v>
      </c>
      <c r="Z154" s="841">
        <v>272744</v>
      </c>
      <c r="AA154" s="841">
        <v>99059</v>
      </c>
      <c r="AB154" s="841">
        <v>36139</v>
      </c>
      <c r="AC154" s="841">
        <v>314186</v>
      </c>
      <c r="AD154" s="841">
        <v>116664</v>
      </c>
      <c r="AE154" s="841">
        <v>3247</v>
      </c>
      <c r="AF154" s="841">
        <v>6804</v>
      </c>
      <c r="AG154" s="841">
        <v>25</v>
      </c>
      <c r="AH154" s="841">
        <v>7</v>
      </c>
      <c r="AI154" s="841">
        <v>0</v>
      </c>
      <c r="AJ154" s="841">
        <v>0</v>
      </c>
      <c r="AK154" s="841">
        <v>50946</v>
      </c>
      <c r="AL154" s="841">
        <v>28554</v>
      </c>
      <c r="AM154" s="841">
        <v>53914</v>
      </c>
      <c r="AN154" s="841">
        <f t="shared" si="4"/>
        <v>566048</v>
      </c>
      <c r="AO154" s="587" t="s">
        <v>1669</v>
      </c>
      <c r="AP154" s="587" t="s">
        <v>1670</v>
      </c>
      <c r="AQ154" s="115" t="s">
        <v>1671</v>
      </c>
    </row>
    <row r="155" spans="1:43" ht="106.5" hidden="1">
      <c r="A155" s="115">
        <v>1</v>
      </c>
      <c r="B155" s="597" t="s">
        <v>513</v>
      </c>
      <c r="C155" s="584">
        <v>19</v>
      </c>
      <c r="D155" s="115" t="s">
        <v>1559</v>
      </c>
      <c r="E155" s="23">
        <v>1905</v>
      </c>
      <c r="F155" s="115" t="s">
        <v>1977</v>
      </c>
      <c r="G155" s="593">
        <v>1905027</v>
      </c>
      <c r="H155" s="628" t="s">
        <v>2057</v>
      </c>
      <c r="I155" s="585">
        <v>190502700</v>
      </c>
      <c r="J155" s="595" t="s">
        <v>2058</v>
      </c>
      <c r="K155" s="629">
        <v>11</v>
      </c>
      <c r="L155" s="115"/>
      <c r="M155" s="115">
        <f t="shared" si="5"/>
        <v>11</v>
      </c>
      <c r="N155" s="587" t="s">
        <v>2043</v>
      </c>
      <c r="O155" s="456" t="s">
        <v>2044</v>
      </c>
      <c r="P155" s="456" t="s">
        <v>2061</v>
      </c>
      <c r="Q155" s="626">
        <v>20000000</v>
      </c>
      <c r="R155" s="589">
        <f>16000000</f>
        <v>16000000</v>
      </c>
      <c r="S155" s="589"/>
      <c r="T155" s="589"/>
      <c r="U155" s="589">
        <f>+Q155-R155+S155-T155</f>
        <v>4000000</v>
      </c>
      <c r="V155" s="590" t="s">
        <v>2062</v>
      </c>
      <c r="W155" s="23">
        <v>20</v>
      </c>
      <c r="X155" s="115" t="s">
        <v>67</v>
      </c>
      <c r="Y155" s="840">
        <v>293304</v>
      </c>
      <c r="Z155" s="841">
        <v>272744</v>
      </c>
      <c r="AA155" s="841">
        <v>99059</v>
      </c>
      <c r="AB155" s="841">
        <v>36139</v>
      </c>
      <c r="AC155" s="841">
        <v>314186</v>
      </c>
      <c r="AD155" s="841">
        <v>116664</v>
      </c>
      <c r="AE155" s="841">
        <v>3247</v>
      </c>
      <c r="AF155" s="841">
        <v>6804</v>
      </c>
      <c r="AG155" s="841">
        <v>25</v>
      </c>
      <c r="AH155" s="841">
        <v>7</v>
      </c>
      <c r="AI155" s="841">
        <v>0</v>
      </c>
      <c r="AJ155" s="841">
        <v>0</v>
      </c>
      <c r="AK155" s="841">
        <v>50946</v>
      </c>
      <c r="AL155" s="841">
        <v>28554</v>
      </c>
      <c r="AM155" s="841">
        <v>53914</v>
      </c>
      <c r="AN155" s="841">
        <f t="shared" si="4"/>
        <v>566048</v>
      </c>
      <c r="AO155" s="587" t="s">
        <v>1669</v>
      </c>
      <c r="AP155" s="587" t="s">
        <v>1670</v>
      </c>
      <c r="AQ155" s="115" t="s">
        <v>1671</v>
      </c>
    </row>
    <row r="156" spans="1:43" ht="76.5" hidden="1">
      <c r="A156" s="115">
        <v>1</v>
      </c>
      <c r="B156" s="597" t="s">
        <v>513</v>
      </c>
      <c r="C156" s="584">
        <v>19</v>
      </c>
      <c r="D156" s="115" t="s">
        <v>1559</v>
      </c>
      <c r="E156" s="23">
        <v>1905</v>
      </c>
      <c r="F156" s="115" t="s">
        <v>1977</v>
      </c>
      <c r="G156" s="593">
        <v>1905029</v>
      </c>
      <c r="H156" s="628" t="s">
        <v>2063</v>
      </c>
      <c r="I156" s="585">
        <v>190502900</v>
      </c>
      <c r="J156" s="595" t="s">
        <v>2064</v>
      </c>
      <c r="K156" s="627">
        <v>12</v>
      </c>
      <c r="L156" s="115"/>
      <c r="M156" s="115">
        <f t="shared" si="5"/>
        <v>12</v>
      </c>
      <c r="N156" s="587" t="s">
        <v>2043</v>
      </c>
      <c r="O156" s="456" t="s">
        <v>2044</v>
      </c>
      <c r="P156" s="456" t="s">
        <v>2065</v>
      </c>
      <c r="Q156" s="626">
        <v>30000000</v>
      </c>
      <c r="R156" s="589">
        <v>14800000</v>
      </c>
      <c r="S156" s="589"/>
      <c r="T156" s="589"/>
      <c r="U156" s="589">
        <f>+Q156-R156+S156-T156</f>
        <v>15200000</v>
      </c>
      <c r="V156" s="590" t="s">
        <v>2066</v>
      </c>
      <c r="W156" s="23">
        <v>61</v>
      </c>
      <c r="X156" s="115" t="s">
        <v>1668</v>
      </c>
      <c r="Y156" s="840">
        <v>293304</v>
      </c>
      <c r="Z156" s="841">
        <v>272744</v>
      </c>
      <c r="AA156" s="841">
        <v>99059</v>
      </c>
      <c r="AB156" s="841">
        <v>36139</v>
      </c>
      <c r="AC156" s="841">
        <v>314186</v>
      </c>
      <c r="AD156" s="841">
        <v>116664</v>
      </c>
      <c r="AE156" s="841">
        <v>3247</v>
      </c>
      <c r="AF156" s="841">
        <v>6804</v>
      </c>
      <c r="AG156" s="841">
        <v>25</v>
      </c>
      <c r="AH156" s="841">
        <v>7</v>
      </c>
      <c r="AI156" s="841">
        <v>0</v>
      </c>
      <c r="AJ156" s="841">
        <v>0</v>
      </c>
      <c r="AK156" s="841">
        <v>50946</v>
      </c>
      <c r="AL156" s="841">
        <v>28554</v>
      </c>
      <c r="AM156" s="841">
        <v>53914</v>
      </c>
      <c r="AN156" s="841">
        <f t="shared" si="4"/>
        <v>566048</v>
      </c>
      <c r="AO156" s="587" t="s">
        <v>1669</v>
      </c>
      <c r="AP156" s="587" t="s">
        <v>1670</v>
      </c>
      <c r="AQ156" s="115" t="s">
        <v>1671</v>
      </c>
    </row>
    <row r="157" spans="1:43" ht="60.75" hidden="1">
      <c r="A157" s="115">
        <v>1</v>
      </c>
      <c r="B157" s="597" t="s">
        <v>513</v>
      </c>
      <c r="C157" s="584">
        <v>19</v>
      </c>
      <c r="D157" s="115" t="s">
        <v>1559</v>
      </c>
      <c r="E157" s="23">
        <v>1905</v>
      </c>
      <c r="F157" s="115" t="s">
        <v>1977</v>
      </c>
      <c r="G157" s="593">
        <v>1905054</v>
      </c>
      <c r="H157" s="628" t="s">
        <v>1713</v>
      </c>
      <c r="I157" s="585">
        <v>190505410</v>
      </c>
      <c r="J157" s="595" t="s">
        <v>2067</v>
      </c>
      <c r="K157" s="608">
        <v>8</v>
      </c>
      <c r="L157" s="115"/>
      <c r="M157" s="115">
        <f t="shared" si="5"/>
        <v>8</v>
      </c>
      <c r="N157" s="587" t="s">
        <v>2043</v>
      </c>
      <c r="O157" s="456" t="s">
        <v>2044</v>
      </c>
      <c r="P157" s="456" t="s">
        <v>2068</v>
      </c>
      <c r="Q157" s="626">
        <v>35000000</v>
      </c>
      <c r="R157" s="589"/>
      <c r="S157" s="589"/>
      <c r="T157" s="589"/>
      <c r="U157" s="589">
        <f>+Q157-R157+S157-T157</f>
        <v>35000000</v>
      </c>
      <c r="V157" s="590" t="s">
        <v>2069</v>
      </c>
      <c r="W157" s="23">
        <v>61</v>
      </c>
      <c r="X157" s="115" t="s">
        <v>1668</v>
      </c>
      <c r="Y157" s="840">
        <v>293304</v>
      </c>
      <c r="Z157" s="841">
        <v>272744</v>
      </c>
      <c r="AA157" s="841">
        <v>99059</v>
      </c>
      <c r="AB157" s="841">
        <v>36139</v>
      </c>
      <c r="AC157" s="841">
        <v>314186</v>
      </c>
      <c r="AD157" s="841">
        <v>116664</v>
      </c>
      <c r="AE157" s="841">
        <v>3247</v>
      </c>
      <c r="AF157" s="841">
        <v>6804</v>
      </c>
      <c r="AG157" s="841">
        <v>25</v>
      </c>
      <c r="AH157" s="841">
        <v>7</v>
      </c>
      <c r="AI157" s="841">
        <v>0</v>
      </c>
      <c r="AJ157" s="841">
        <v>0</v>
      </c>
      <c r="AK157" s="841">
        <v>50946</v>
      </c>
      <c r="AL157" s="841">
        <v>28554</v>
      </c>
      <c r="AM157" s="841">
        <v>53914</v>
      </c>
      <c r="AN157" s="841">
        <f t="shared" si="4"/>
        <v>566048</v>
      </c>
      <c r="AO157" s="587" t="s">
        <v>1669</v>
      </c>
      <c r="AP157" s="587" t="s">
        <v>1670</v>
      </c>
      <c r="AQ157" s="115" t="s">
        <v>1671</v>
      </c>
    </row>
    <row r="158" spans="1:43" ht="60.75" hidden="1">
      <c r="A158" s="115">
        <v>1</v>
      </c>
      <c r="B158" s="597" t="s">
        <v>513</v>
      </c>
      <c r="C158" s="584">
        <v>19</v>
      </c>
      <c r="D158" s="115" t="s">
        <v>1559</v>
      </c>
      <c r="E158" s="23">
        <v>1903</v>
      </c>
      <c r="F158" s="115" t="s">
        <v>2017</v>
      </c>
      <c r="G158" s="593">
        <v>1903011</v>
      </c>
      <c r="H158" s="594" t="s">
        <v>2070</v>
      </c>
      <c r="I158" s="585">
        <v>190301100</v>
      </c>
      <c r="J158" s="595" t="s">
        <v>2071</v>
      </c>
      <c r="K158" s="584">
        <v>190</v>
      </c>
      <c r="L158" s="115"/>
      <c r="M158" s="115">
        <f t="shared" si="5"/>
        <v>190</v>
      </c>
      <c r="N158" s="587" t="s">
        <v>2072</v>
      </c>
      <c r="O158" s="456" t="s">
        <v>2073</v>
      </c>
      <c r="P158" s="456" t="s">
        <v>2074</v>
      </c>
      <c r="Q158" s="623">
        <v>70000000</v>
      </c>
      <c r="R158" s="589">
        <f>16000000+14800000+14800000+5600000+14800000</f>
        <v>66000000</v>
      </c>
      <c r="S158" s="589"/>
      <c r="T158" s="589"/>
      <c r="U158" s="589">
        <f>+Q158-R158+S158-T158</f>
        <v>4000000</v>
      </c>
      <c r="V158" s="590" t="s">
        <v>2075</v>
      </c>
      <c r="W158" s="23">
        <v>20</v>
      </c>
      <c r="X158" s="115" t="s">
        <v>67</v>
      </c>
      <c r="Y158" s="840">
        <v>293304</v>
      </c>
      <c r="Z158" s="841">
        <v>272744</v>
      </c>
      <c r="AA158" s="841">
        <v>99059</v>
      </c>
      <c r="AB158" s="841">
        <v>36139</v>
      </c>
      <c r="AC158" s="841">
        <v>314186</v>
      </c>
      <c r="AD158" s="841">
        <v>116664</v>
      </c>
      <c r="AE158" s="841">
        <v>3247</v>
      </c>
      <c r="AF158" s="841">
        <v>6804</v>
      </c>
      <c r="AG158" s="841">
        <v>25</v>
      </c>
      <c r="AH158" s="841">
        <v>7</v>
      </c>
      <c r="AI158" s="841">
        <v>0</v>
      </c>
      <c r="AJ158" s="841">
        <v>0</v>
      </c>
      <c r="AK158" s="841">
        <v>50946</v>
      </c>
      <c r="AL158" s="841">
        <v>28554</v>
      </c>
      <c r="AM158" s="841">
        <v>53914</v>
      </c>
      <c r="AN158" s="841">
        <f t="shared" si="4"/>
        <v>566048</v>
      </c>
      <c r="AO158" s="587" t="s">
        <v>1669</v>
      </c>
      <c r="AP158" s="587" t="s">
        <v>1670</v>
      </c>
      <c r="AQ158" s="115" t="s">
        <v>1671</v>
      </c>
    </row>
    <row r="159" spans="1:43" ht="60.75" hidden="1">
      <c r="A159" s="115">
        <v>1</v>
      </c>
      <c r="B159" s="597" t="s">
        <v>513</v>
      </c>
      <c r="C159" s="584">
        <v>19</v>
      </c>
      <c r="D159" s="115" t="s">
        <v>1559</v>
      </c>
      <c r="E159" s="23">
        <v>1903</v>
      </c>
      <c r="F159" s="115" t="s">
        <v>2017</v>
      </c>
      <c r="G159" s="593">
        <v>1903011</v>
      </c>
      <c r="H159" s="594" t="s">
        <v>2070</v>
      </c>
      <c r="I159" s="585">
        <v>190301101</v>
      </c>
      <c r="J159" s="595" t="s">
        <v>2076</v>
      </c>
      <c r="K159" s="584">
        <v>12</v>
      </c>
      <c r="L159" s="115"/>
      <c r="M159" s="115">
        <f t="shared" si="5"/>
        <v>12</v>
      </c>
      <c r="N159" s="587" t="s">
        <v>2072</v>
      </c>
      <c r="O159" s="456" t="s">
        <v>2073</v>
      </c>
      <c r="P159" s="456" t="s">
        <v>2077</v>
      </c>
      <c r="Q159" s="623">
        <v>70000000</v>
      </c>
      <c r="R159" s="589">
        <f>14800000+14800000+14800000+14800000</f>
        <v>59200000</v>
      </c>
      <c r="S159" s="589"/>
      <c r="T159" s="589"/>
      <c r="U159" s="589">
        <f>+Q159-R159+S159-T159</f>
        <v>10800000</v>
      </c>
      <c r="V159" s="590" t="s">
        <v>2075</v>
      </c>
      <c r="W159" s="23">
        <v>20</v>
      </c>
      <c r="X159" s="115" t="s">
        <v>67</v>
      </c>
      <c r="Y159" s="840">
        <v>293304</v>
      </c>
      <c r="Z159" s="841">
        <v>272744</v>
      </c>
      <c r="AA159" s="841">
        <v>99059</v>
      </c>
      <c r="AB159" s="841">
        <v>36139</v>
      </c>
      <c r="AC159" s="841">
        <v>314186</v>
      </c>
      <c r="AD159" s="841">
        <v>116664</v>
      </c>
      <c r="AE159" s="841">
        <v>3247</v>
      </c>
      <c r="AF159" s="841">
        <v>6804</v>
      </c>
      <c r="AG159" s="841">
        <v>25</v>
      </c>
      <c r="AH159" s="841">
        <v>7</v>
      </c>
      <c r="AI159" s="841">
        <v>0</v>
      </c>
      <c r="AJ159" s="841">
        <v>0</v>
      </c>
      <c r="AK159" s="841">
        <v>50946</v>
      </c>
      <c r="AL159" s="841">
        <v>28554</v>
      </c>
      <c r="AM159" s="841">
        <v>53914</v>
      </c>
      <c r="AN159" s="841">
        <f t="shared" si="4"/>
        <v>566048</v>
      </c>
      <c r="AO159" s="587" t="s">
        <v>1669</v>
      </c>
      <c r="AP159" s="587" t="s">
        <v>1670</v>
      </c>
      <c r="AQ159" s="115" t="s">
        <v>1671</v>
      </c>
    </row>
    <row r="160" spans="1:43" ht="60.75" hidden="1">
      <c r="A160" s="115">
        <v>1</v>
      </c>
      <c r="B160" s="597" t="s">
        <v>513</v>
      </c>
      <c r="C160" s="584">
        <v>19</v>
      </c>
      <c r="D160" s="115" t="s">
        <v>1559</v>
      </c>
      <c r="E160" s="23">
        <v>1903</v>
      </c>
      <c r="F160" s="115" t="s">
        <v>2017</v>
      </c>
      <c r="G160" s="593">
        <v>1903016</v>
      </c>
      <c r="H160" s="594" t="s">
        <v>2078</v>
      </c>
      <c r="I160" s="585">
        <v>190301600</v>
      </c>
      <c r="J160" s="595" t="s">
        <v>2079</v>
      </c>
      <c r="K160" s="584">
        <v>61</v>
      </c>
      <c r="L160" s="115"/>
      <c r="M160" s="115">
        <f t="shared" si="5"/>
        <v>61</v>
      </c>
      <c r="N160" s="587" t="s">
        <v>2072</v>
      </c>
      <c r="O160" s="456" t="s">
        <v>2073</v>
      </c>
      <c r="P160" s="456" t="s">
        <v>2080</v>
      </c>
      <c r="Q160" s="623">
        <v>70000000</v>
      </c>
      <c r="R160" s="589">
        <f>14800000+14800000+9200000+16000000</f>
        <v>54800000</v>
      </c>
      <c r="S160" s="589"/>
      <c r="T160" s="589"/>
      <c r="U160" s="589">
        <f>+Q160-R160+S160-T160</f>
        <v>15200000</v>
      </c>
      <c r="V160" s="590" t="s">
        <v>2081</v>
      </c>
      <c r="W160" s="23">
        <v>20</v>
      </c>
      <c r="X160" s="115" t="s">
        <v>67</v>
      </c>
      <c r="Y160" s="840">
        <v>293304</v>
      </c>
      <c r="Z160" s="841">
        <v>272744</v>
      </c>
      <c r="AA160" s="841">
        <v>99059</v>
      </c>
      <c r="AB160" s="841">
        <v>36139</v>
      </c>
      <c r="AC160" s="841">
        <v>314186</v>
      </c>
      <c r="AD160" s="841">
        <v>116664</v>
      </c>
      <c r="AE160" s="841">
        <v>3247</v>
      </c>
      <c r="AF160" s="841">
        <v>6804</v>
      </c>
      <c r="AG160" s="841">
        <v>25</v>
      </c>
      <c r="AH160" s="841">
        <v>7</v>
      </c>
      <c r="AI160" s="841">
        <v>0</v>
      </c>
      <c r="AJ160" s="841">
        <v>0</v>
      </c>
      <c r="AK160" s="841">
        <v>50946</v>
      </c>
      <c r="AL160" s="841">
        <v>28554</v>
      </c>
      <c r="AM160" s="841">
        <v>53914</v>
      </c>
      <c r="AN160" s="841">
        <f t="shared" si="4"/>
        <v>566048</v>
      </c>
      <c r="AO160" s="587" t="s">
        <v>1669</v>
      </c>
      <c r="AP160" s="587" t="s">
        <v>1670</v>
      </c>
      <c r="AQ160" s="115" t="s">
        <v>1671</v>
      </c>
    </row>
    <row r="161" spans="1:43" ht="91.5" hidden="1">
      <c r="A161" s="115">
        <v>1</v>
      </c>
      <c r="B161" s="597" t="s">
        <v>513</v>
      </c>
      <c r="C161" s="584">
        <v>19</v>
      </c>
      <c r="D161" s="115" t="s">
        <v>1559</v>
      </c>
      <c r="E161" s="23">
        <v>1905</v>
      </c>
      <c r="F161" s="115" t="s">
        <v>1659</v>
      </c>
      <c r="G161" s="23">
        <v>1905014</v>
      </c>
      <c r="H161" s="133" t="s">
        <v>729</v>
      </c>
      <c r="I161" s="585" t="s">
        <v>2082</v>
      </c>
      <c r="J161" s="133" t="s">
        <v>2083</v>
      </c>
      <c r="K161" s="115">
        <v>1</v>
      </c>
      <c r="L161" s="115"/>
      <c r="M161" s="115">
        <f t="shared" si="5"/>
        <v>1</v>
      </c>
      <c r="N161" s="587" t="s">
        <v>2084</v>
      </c>
      <c r="O161" s="456" t="s">
        <v>2085</v>
      </c>
      <c r="P161" s="456" t="s">
        <v>2086</v>
      </c>
      <c r="Q161" s="626">
        <v>87364957.010000005</v>
      </c>
      <c r="R161" s="589">
        <f>14800000+14800000+14800000+16000000</f>
        <v>60400000</v>
      </c>
      <c r="S161" s="589"/>
      <c r="T161" s="589"/>
      <c r="U161" s="589">
        <f>+Q161-R161+S161-T161</f>
        <v>26964957.010000005</v>
      </c>
      <c r="V161" s="590" t="s">
        <v>2087</v>
      </c>
      <c r="W161" s="23">
        <v>61</v>
      </c>
      <c r="X161" s="115" t="s">
        <v>1668</v>
      </c>
      <c r="Y161" s="840">
        <v>293304</v>
      </c>
      <c r="Z161" s="841">
        <v>272744</v>
      </c>
      <c r="AA161" s="841">
        <v>99059</v>
      </c>
      <c r="AB161" s="841">
        <v>36139</v>
      </c>
      <c r="AC161" s="841">
        <v>314186</v>
      </c>
      <c r="AD161" s="841">
        <v>116664</v>
      </c>
      <c r="AE161" s="841">
        <v>3247</v>
      </c>
      <c r="AF161" s="841">
        <v>6804</v>
      </c>
      <c r="AG161" s="841">
        <v>25</v>
      </c>
      <c r="AH161" s="841">
        <v>7</v>
      </c>
      <c r="AI161" s="841">
        <v>0</v>
      </c>
      <c r="AJ161" s="841">
        <v>0</v>
      </c>
      <c r="AK161" s="841">
        <v>50946</v>
      </c>
      <c r="AL161" s="841">
        <v>28554</v>
      </c>
      <c r="AM161" s="841">
        <v>53914</v>
      </c>
      <c r="AN161" s="841">
        <f t="shared" si="4"/>
        <v>566048</v>
      </c>
      <c r="AO161" s="587" t="s">
        <v>1669</v>
      </c>
      <c r="AP161" s="587" t="s">
        <v>1670</v>
      </c>
      <c r="AQ161" s="115" t="s">
        <v>1671</v>
      </c>
    </row>
    <row r="162" spans="1:43" ht="162" hidden="1" customHeight="1">
      <c r="A162" s="115">
        <v>1</v>
      </c>
      <c r="B162" s="597" t="s">
        <v>513</v>
      </c>
      <c r="C162" s="584">
        <v>19</v>
      </c>
      <c r="D162" s="115" t="s">
        <v>1559</v>
      </c>
      <c r="E162" s="23">
        <v>1905</v>
      </c>
      <c r="F162" s="115" t="s">
        <v>1659</v>
      </c>
      <c r="G162" s="23">
        <v>1905026</v>
      </c>
      <c r="H162" s="133" t="s">
        <v>2088</v>
      </c>
      <c r="I162" s="585">
        <v>190502600</v>
      </c>
      <c r="J162" s="133" t="s">
        <v>2089</v>
      </c>
      <c r="K162" s="630">
        <v>11</v>
      </c>
      <c r="L162" s="115"/>
      <c r="M162" s="115">
        <f t="shared" si="5"/>
        <v>11</v>
      </c>
      <c r="N162" s="587" t="s">
        <v>2084</v>
      </c>
      <c r="O162" s="456" t="s">
        <v>2085</v>
      </c>
      <c r="P162" s="456" t="s">
        <v>2090</v>
      </c>
      <c r="Q162" s="626">
        <v>35000000</v>
      </c>
      <c r="R162" s="589"/>
      <c r="S162" s="589"/>
      <c r="T162" s="589"/>
      <c r="U162" s="589">
        <f>+Q162-R162+S162-T162</f>
        <v>35000000</v>
      </c>
      <c r="V162" s="590" t="s">
        <v>2091</v>
      </c>
      <c r="W162" s="23">
        <v>113</v>
      </c>
      <c r="X162" s="115" t="s">
        <v>2092</v>
      </c>
      <c r="Y162" s="840">
        <v>293304</v>
      </c>
      <c r="Z162" s="841">
        <v>272744</v>
      </c>
      <c r="AA162" s="841">
        <v>99059</v>
      </c>
      <c r="AB162" s="841">
        <v>36139</v>
      </c>
      <c r="AC162" s="841">
        <v>314186</v>
      </c>
      <c r="AD162" s="841">
        <v>116664</v>
      </c>
      <c r="AE162" s="841">
        <v>3247</v>
      </c>
      <c r="AF162" s="841">
        <v>6804</v>
      </c>
      <c r="AG162" s="841">
        <v>25</v>
      </c>
      <c r="AH162" s="841">
        <v>7</v>
      </c>
      <c r="AI162" s="841">
        <v>0</v>
      </c>
      <c r="AJ162" s="841">
        <v>0</v>
      </c>
      <c r="AK162" s="841">
        <v>50946</v>
      </c>
      <c r="AL162" s="841">
        <v>28554</v>
      </c>
      <c r="AM162" s="841">
        <v>53914</v>
      </c>
      <c r="AN162" s="841">
        <f t="shared" si="4"/>
        <v>566048</v>
      </c>
      <c r="AO162" s="587" t="s">
        <v>1669</v>
      </c>
      <c r="AP162" s="587" t="s">
        <v>1670</v>
      </c>
      <c r="AQ162" s="115" t="s">
        <v>1671</v>
      </c>
    </row>
    <row r="163" spans="1:43" ht="91.5" hidden="1">
      <c r="A163" s="115">
        <v>1</v>
      </c>
      <c r="B163" s="597" t="s">
        <v>513</v>
      </c>
      <c r="C163" s="584">
        <v>19</v>
      </c>
      <c r="D163" s="115" t="s">
        <v>1559</v>
      </c>
      <c r="E163" s="23">
        <v>1905</v>
      </c>
      <c r="F163" s="115" t="s">
        <v>1659</v>
      </c>
      <c r="G163" s="23">
        <v>1905026</v>
      </c>
      <c r="H163" s="133" t="s">
        <v>2088</v>
      </c>
      <c r="I163" s="585">
        <v>190502600</v>
      </c>
      <c r="J163" s="133" t="s">
        <v>2089</v>
      </c>
      <c r="K163" s="630">
        <v>11</v>
      </c>
      <c r="L163" s="115"/>
      <c r="M163" s="115">
        <f t="shared" si="5"/>
        <v>11</v>
      </c>
      <c r="N163" s="587" t="s">
        <v>2084</v>
      </c>
      <c r="O163" s="456" t="s">
        <v>2085</v>
      </c>
      <c r="P163" s="456" t="s">
        <v>2093</v>
      </c>
      <c r="Q163" s="626">
        <v>35000000</v>
      </c>
      <c r="R163" s="589"/>
      <c r="S163" s="589"/>
      <c r="T163" s="589"/>
      <c r="U163" s="589">
        <f>+Q163-R163+S163-T163</f>
        <v>35000000</v>
      </c>
      <c r="V163" s="590" t="s">
        <v>2091</v>
      </c>
      <c r="W163" s="23">
        <v>113</v>
      </c>
      <c r="X163" s="115" t="s">
        <v>2092</v>
      </c>
      <c r="Y163" s="840">
        <v>293304</v>
      </c>
      <c r="Z163" s="841">
        <v>272744</v>
      </c>
      <c r="AA163" s="841">
        <v>99059</v>
      </c>
      <c r="AB163" s="841">
        <v>36139</v>
      </c>
      <c r="AC163" s="841">
        <v>314186</v>
      </c>
      <c r="AD163" s="841">
        <v>116664</v>
      </c>
      <c r="AE163" s="841">
        <v>3247</v>
      </c>
      <c r="AF163" s="841">
        <v>6804</v>
      </c>
      <c r="AG163" s="841">
        <v>25</v>
      </c>
      <c r="AH163" s="841">
        <v>7</v>
      </c>
      <c r="AI163" s="841">
        <v>0</v>
      </c>
      <c r="AJ163" s="841">
        <v>0</v>
      </c>
      <c r="AK163" s="841">
        <v>50946</v>
      </c>
      <c r="AL163" s="841">
        <v>28554</v>
      </c>
      <c r="AM163" s="841">
        <v>53914</v>
      </c>
      <c r="AN163" s="841">
        <f t="shared" si="4"/>
        <v>566048</v>
      </c>
      <c r="AO163" s="587" t="s">
        <v>1669</v>
      </c>
      <c r="AP163" s="587" t="s">
        <v>1670</v>
      </c>
      <c r="AQ163" s="115" t="s">
        <v>1671</v>
      </c>
    </row>
    <row r="164" spans="1:43" ht="91.5" hidden="1">
      <c r="A164" s="115">
        <v>1</v>
      </c>
      <c r="B164" s="597" t="s">
        <v>513</v>
      </c>
      <c r="C164" s="584">
        <v>19</v>
      </c>
      <c r="D164" s="115" t="s">
        <v>1559</v>
      </c>
      <c r="E164" s="23">
        <v>1905</v>
      </c>
      <c r="F164" s="115" t="s">
        <v>1659</v>
      </c>
      <c r="G164" s="23">
        <v>1905026</v>
      </c>
      <c r="H164" s="133" t="s">
        <v>2088</v>
      </c>
      <c r="I164" s="585" t="s">
        <v>2053</v>
      </c>
      <c r="J164" s="133" t="s">
        <v>2089</v>
      </c>
      <c r="K164" s="631">
        <v>11</v>
      </c>
      <c r="L164" s="115"/>
      <c r="M164" s="115">
        <f t="shared" si="5"/>
        <v>11</v>
      </c>
      <c r="N164" s="587" t="s">
        <v>2084</v>
      </c>
      <c r="O164" s="456" t="s">
        <v>2085</v>
      </c>
      <c r="P164" s="456" t="s">
        <v>2094</v>
      </c>
      <c r="Q164" s="626">
        <v>30000000</v>
      </c>
      <c r="R164" s="589"/>
      <c r="S164" s="589"/>
      <c r="T164" s="589"/>
      <c r="U164" s="589">
        <f>+Q164-R164+S164-T164</f>
        <v>30000000</v>
      </c>
      <c r="V164" s="590" t="s">
        <v>2091</v>
      </c>
      <c r="W164" s="23">
        <v>113</v>
      </c>
      <c r="X164" s="115" t="s">
        <v>2092</v>
      </c>
      <c r="Y164" s="840">
        <v>293304</v>
      </c>
      <c r="Z164" s="841">
        <v>272744</v>
      </c>
      <c r="AA164" s="841">
        <v>99059</v>
      </c>
      <c r="AB164" s="841">
        <v>36139</v>
      </c>
      <c r="AC164" s="841">
        <v>314186</v>
      </c>
      <c r="AD164" s="841">
        <v>116664</v>
      </c>
      <c r="AE164" s="841">
        <v>3247</v>
      </c>
      <c r="AF164" s="841">
        <v>6804</v>
      </c>
      <c r="AG164" s="841">
        <v>25</v>
      </c>
      <c r="AH164" s="841">
        <v>7</v>
      </c>
      <c r="AI164" s="841">
        <v>0</v>
      </c>
      <c r="AJ164" s="841">
        <v>0</v>
      </c>
      <c r="AK164" s="841">
        <v>50946</v>
      </c>
      <c r="AL164" s="841">
        <v>28554</v>
      </c>
      <c r="AM164" s="841">
        <v>53914</v>
      </c>
      <c r="AN164" s="841">
        <f t="shared" si="4"/>
        <v>566048</v>
      </c>
      <c r="AO164" s="587" t="s">
        <v>1669</v>
      </c>
      <c r="AP164" s="587" t="s">
        <v>1670</v>
      </c>
      <c r="AQ164" s="115" t="s">
        <v>1671</v>
      </c>
    </row>
    <row r="165" spans="1:43" ht="91.5" hidden="1">
      <c r="A165" s="115">
        <v>1</v>
      </c>
      <c r="B165" s="597" t="s">
        <v>513</v>
      </c>
      <c r="C165" s="584">
        <v>19</v>
      </c>
      <c r="D165" s="115" t="s">
        <v>1559</v>
      </c>
      <c r="E165" s="23">
        <v>1905</v>
      </c>
      <c r="F165" s="115" t="s">
        <v>1659</v>
      </c>
      <c r="G165" s="23">
        <v>1905026</v>
      </c>
      <c r="H165" s="133" t="s">
        <v>2088</v>
      </c>
      <c r="I165" s="585">
        <v>190502600</v>
      </c>
      <c r="J165" s="133" t="s">
        <v>2089</v>
      </c>
      <c r="K165" s="630">
        <v>11</v>
      </c>
      <c r="L165" s="115"/>
      <c r="M165" s="115">
        <f t="shared" si="5"/>
        <v>11</v>
      </c>
      <c r="N165" s="587" t="s">
        <v>2084</v>
      </c>
      <c r="O165" s="456" t="s">
        <v>2085</v>
      </c>
      <c r="P165" s="456" t="s">
        <v>2095</v>
      </c>
      <c r="Q165" s="626">
        <v>40241250</v>
      </c>
      <c r="R165" s="589"/>
      <c r="S165" s="589"/>
      <c r="T165" s="589"/>
      <c r="U165" s="589">
        <f>+Q165-R165+S165-T165</f>
        <v>40241250</v>
      </c>
      <c r="V165" s="590" t="s">
        <v>2096</v>
      </c>
      <c r="W165" s="23">
        <v>114</v>
      </c>
      <c r="X165" s="115" t="s">
        <v>2097</v>
      </c>
      <c r="Y165" s="840">
        <v>293304</v>
      </c>
      <c r="Z165" s="841">
        <v>272744</v>
      </c>
      <c r="AA165" s="841">
        <v>99059</v>
      </c>
      <c r="AB165" s="841">
        <v>36139</v>
      </c>
      <c r="AC165" s="841">
        <v>314186</v>
      </c>
      <c r="AD165" s="841">
        <v>116664</v>
      </c>
      <c r="AE165" s="841">
        <v>3247</v>
      </c>
      <c r="AF165" s="841">
        <v>6804</v>
      </c>
      <c r="AG165" s="841">
        <v>25</v>
      </c>
      <c r="AH165" s="841">
        <v>7</v>
      </c>
      <c r="AI165" s="841">
        <v>0</v>
      </c>
      <c r="AJ165" s="841">
        <v>0</v>
      </c>
      <c r="AK165" s="841">
        <v>50946</v>
      </c>
      <c r="AL165" s="841">
        <v>28554</v>
      </c>
      <c r="AM165" s="841">
        <v>53914</v>
      </c>
      <c r="AN165" s="841">
        <f t="shared" si="4"/>
        <v>566048</v>
      </c>
      <c r="AO165" s="587" t="s">
        <v>1669</v>
      </c>
      <c r="AP165" s="587" t="s">
        <v>1670</v>
      </c>
      <c r="AQ165" s="115" t="s">
        <v>1671</v>
      </c>
    </row>
    <row r="166" spans="1:43" ht="126" hidden="1" customHeight="1">
      <c r="A166" s="115">
        <v>1</v>
      </c>
      <c r="B166" s="597" t="s">
        <v>513</v>
      </c>
      <c r="C166" s="584">
        <v>19</v>
      </c>
      <c r="D166" s="115" t="s">
        <v>1559</v>
      </c>
      <c r="E166" s="23">
        <v>1905</v>
      </c>
      <c r="F166" s="115" t="s">
        <v>1659</v>
      </c>
      <c r="G166" s="23">
        <v>1905040</v>
      </c>
      <c r="H166" s="133" t="s">
        <v>2098</v>
      </c>
      <c r="I166" s="585">
        <v>190504002</v>
      </c>
      <c r="J166" s="133" t="s">
        <v>2099</v>
      </c>
      <c r="K166" s="632">
        <v>300</v>
      </c>
      <c r="L166" s="115"/>
      <c r="M166" s="115">
        <f t="shared" si="5"/>
        <v>300</v>
      </c>
      <c r="N166" s="587" t="s">
        <v>2084</v>
      </c>
      <c r="O166" s="456" t="s">
        <v>2085</v>
      </c>
      <c r="P166" s="456" t="s">
        <v>2100</v>
      </c>
      <c r="Q166" s="626">
        <v>373739526.45999998</v>
      </c>
      <c r="R166" s="589"/>
      <c r="S166" s="589"/>
      <c r="T166" s="589"/>
      <c r="U166" s="589">
        <f>+Q166-R166+S166-T166</f>
        <v>373739526.45999998</v>
      </c>
      <c r="V166" s="590" t="s">
        <v>2101</v>
      </c>
      <c r="W166" s="23">
        <v>180</v>
      </c>
      <c r="X166" s="115" t="s">
        <v>2102</v>
      </c>
      <c r="Y166" s="840">
        <v>293304</v>
      </c>
      <c r="Z166" s="841">
        <v>272744</v>
      </c>
      <c r="AA166" s="841">
        <v>99059</v>
      </c>
      <c r="AB166" s="841">
        <v>36139</v>
      </c>
      <c r="AC166" s="841">
        <v>314186</v>
      </c>
      <c r="AD166" s="841">
        <v>116664</v>
      </c>
      <c r="AE166" s="841">
        <v>3247</v>
      </c>
      <c r="AF166" s="841">
        <v>6804</v>
      </c>
      <c r="AG166" s="841">
        <v>25</v>
      </c>
      <c r="AH166" s="841">
        <v>7</v>
      </c>
      <c r="AI166" s="841">
        <v>0</v>
      </c>
      <c r="AJ166" s="841">
        <v>0</v>
      </c>
      <c r="AK166" s="841">
        <v>50946</v>
      </c>
      <c r="AL166" s="841">
        <v>28554</v>
      </c>
      <c r="AM166" s="841">
        <v>53914</v>
      </c>
      <c r="AN166" s="841">
        <f t="shared" si="4"/>
        <v>566048</v>
      </c>
      <c r="AO166" s="587" t="s">
        <v>1669</v>
      </c>
      <c r="AP166" s="587" t="s">
        <v>1670</v>
      </c>
      <c r="AQ166" s="115" t="s">
        <v>1671</v>
      </c>
    </row>
    <row r="167" spans="1:43" ht="91.5" hidden="1">
      <c r="A167" s="115">
        <v>1</v>
      </c>
      <c r="B167" s="597" t="s">
        <v>513</v>
      </c>
      <c r="C167" s="584">
        <v>19</v>
      </c>
      <c r="D167" s="115" t="s">
        <v>1559</v>
      </c>
      <c r="E167" s="23">
        <v>1905</v>
      </c>
      <c r="F167" s="115" t="s">
        <v>1659</v>
      </c>
      <c r="G167" s="23">
        <v>1905040</v>
      </c>
      <c r="H167" s="133" t="s">
        <v>2098</v>
      </c>
      <c r="I167" s="585">
        <v>190504002</v>
      </c>
      <c r="J167" s="133" t="s">
        <v>2099</v>
      </c>
      <c r="K167" s="604">
        <v>300</v>
      </c>
      <c r="L167" s="115"/>
      <c r="M167" s="115">
        <f t="shared" si="5"/>
        <v>300</v>
      </c>
      <c r="N167" s="587" t="s">
        <v>2084</v>
      </c>
      <c r="O167" s="456" t="s">
        <v>2085</v>
      </c>
      <c r="P167" s="456" t="s">
        <v>2103</v>
      </c>
      <c r="Q167" s="626">
        <v>20000000</v>
      </c>
      <c r="R167" s="589">
        <v>14800000</v>
      </c>
      <c r="S167" s="589"/>
      <c r="T167" s="589"/>
      <c r="U167" s="589">
        <f>+Q167-R167+S167-T167</f>
        <v>5200000</v>
      </c>
      <c r="V167" s="590" t="s">
        <v>2104</v>
      </c>
      <c r="W167" s="23">
        <v>20</v>
      </c>
      <c r="X167" s="115" t="s">
        <v>67</v>
      </c>
      <c r="Y167" s="840">
        <v>293304</v>
      </c>
      <c r="Z167" s="841">
        <v>272744</v>
      </c>
      <c r="AA167" s="841">
        <v>99059</v>
      </c>
      <c r="AB167" s="841">
        <v>36139</v>
      </c>
      <c r="AC167" s="841">
        <v>314186</v>
      </c>
      <c r="AD167" s="841">
        <v>116664</v>
      </c>
      <c r="AE167" s="841">
        <v>3247</v>
      </c>
      <c r="AF167" s="841">
        <v>6804</v>
      </c>
      <c r="AG167" s="841">
        <v>25</v>
      </c>
      <c r="AH167" s="841">
        <v>7</v>
      </c>
      <c r="AI167" s="841">
        <v>0</v>
      </c>
      <c r="AJ167" s="841">
        <v>0</v>
      </c>
      <c r="AK167" s="841">
        <v>50946</v>
      </c>
      <c r="AL167" s="841">
        <v>28554</v>
      </c>
      <c r="AM167" s="841">
        <v>53914</v>
      </c>
      <c r="AN167" s="841">
        <f t="shared" si="4"/>
        <v>566048</v>
      </c>
      <c r="AO167" s="587" t="s">
        <v>1669</v>
      </c>
      <c r="AP167" s="587" t="s">
        <v>1670</v>
      </c>
      <c r="AQ167" s="115" t="s">
        <v>1671</v>
      </c>
    </row>
    <row r="168" spans="1:43" ht="91.5" hidden="1">
      <c r="A168" s="115">
        <v>1</v>
      </c>
      <c r="B168" s="597" t="s">
        <v>513</v>
      </c>
      <c r="C168" s="584">
        <v>19</v>
      </c>
      <c r="D168" s="115" t="s">
        <v>1559</v>
      </c>
      <c r="E168" s="23">
        <v>1905</v>
      </c>
      <c r="F168" s="115" t="s">
        <v>1659</v>
      </c>
      <c r="G168" s="633" t="s">
        <v>2105</v>
      </c>
      <c r="H168" s="133" t="s">
        <v>162</v>
      </c>
      <c r="I168" s="585">
        <v>190505000</v>
      </c>
      <c r="J168" s="133" t="s">
        <v>2106</v>
      </c>
      <c r="K168" s="634">
        <v>54</v>
      </c>
      <c r="L168" s="115"/>
      <c r="M168" s="115">
        <f t="shared" si="5"/>
        <v>54</v>
      </c>
      <c r="N168" s="587" t="s">
        <v>2084</v>
      </c>
      <c r="O168" s="456" t="s">
        <v>2085</v>
      </c>
      <c r="P168" s="456" t="s">
        <v>2107</v>
      </c>
      <c r="Q168" s="626">
        <v>143652500</v>
      </c>
      <c r="R168" s="589"/>
      <c r="S168" s="589"/>
      <c r="T168" s="589"/>
      <c r="U168" s="589">
        <f>+Q168-R168+S168-T168</f>
        <v>143652500</v>
      </c>
      <c r="V168" s="590" t="s">
        <v>2108</v>
      </c>
      <c r="W168" s="23">
        <v>113</v>
      </c>
      <c r="X168" s="115" t="s">
        <v>2092</v>
      </c>
      <c r="Y168" s="840">
        <v>293304</v>
      </c>
      <c r="Z168" s="841">
        <v>272744</v>
      </c>
      <c r="AA168" s="841">
        <v>99059</v>
      </c>
      <c r="AB168" s="841">
        <v>36139</v>
      </c>
      <c r="AC168" s="841">
        <v>314186</v>
      </c>
      <c r="AD168" s="841">
        <v>116664</v>
      </c>
      <c r="AE168" s="841">
        <v>3247</v>
      </c>
      <c r="AF168" s="841">
        <v>6804</v>
      </c>
      <c r="AG168" s="841">
        <v>25</v>
      </c>
      <c r="AH168" s="841">
        <v>7</v>
      </c>
      <c r="AI168" s="841">
        <v>0</v>
      </c>
      <c r="AJ168" s="841">
        <v>0</v>
      </c>
      <c r="AK168" s="841">
        <v>50946</v>
      </c>
      <c r="AL168" s="841">
        <v>28554</v>
      </c>
      <c r="AM168" s="841">
        <v>53914</v>
      </c>
      <c r="AN168" s="841">
        <f t="shared" si="4"/>
        <v>566048</v>
      </c>
      <c r="AO168" s="587" t="s">
        <v>1669</v>
      </c>
      <c r="AP168" s="587" t="s">
        <v>1670</v>
      </c>
      <c r="AQ168" s="115" t="s">
        <v>1671</v>
      </c>
    </row>
    <row r="169" spans="1:43" ht="60.75" hidden="1">
      <c r="A169" s="115">
        <v>1</v>
      </c>
      <c r="B169" s="597" t="s">
        <v>513</v>
      </c>
      <c r="C169" s="584">
        <v>19</v>
      </c>
      <c r="D169" s="115" t="s">
        <v>1559</v>
      </c>
      <c r="E169" s="23">
        <v>1903</v>
      </c>
      <c r="F169" s="115" t="s">
        <v>2109</v>
      </c>
      <c r="G169" s="635" t="s">
        <v>2110</v>
      </c>
      <c r="H169" s="636" t="s">
        <v>2111</v>
      </c>
      <c r="I169" s="585" t="s">
        <v>2112</v>
      </c>
      <c r="J169" s="637" t="s">
        <v>2113</v>
      </c>
      <c r="K169" s="638">
        <v>12</v>
      </c>
      <c r="L169" s="115"/>
      <c r="M169" s="115">
        <f t="shared" si="5"/>
        <v>12</v>
      </c>
      <c r="N169" s="587" t="s">
        <v>2114</v>
      </c>
      <c r="O169" s="456" t="s">
        <v>2115</v>
      </c>
      <c r="P169" s="456" t="s">
        <v>2116</v>
      </c>
      <c r="Q169" s="639">
        <v>70000000</v>
      </c>
      <c r="R169" s="589">
        <f>14800000</f>
        <v>14800000</v>
      </c>
      <c r="S169" s="589"/>
      <c r="T169" s="589"/>
      <c r="U169" s="589">
        <f>+Q169-R169+S169-T169</f>
        <v>55200000</v>
      </c>
      <c r="V169" s="590" t="s">
        <v>2117</v>
      </c>
      <c r="W169" s="23">
        <v>61</v>
      </c>
      <c r="X169" s="115" t="s">
        <v>1668</v>
      </c>
      <c r="Y169" s="840">
        <v>293304</v>
      </c>
      <c r="Z169" s="841">
        <v>272744</v>
      </c>
      <c r="AA169" s="841">
        <v>99059</v>
      </c>
      <c r="AB169" s="841">
        <v>36139</v>
      </c>
      <c r="AC169" s="841">
        <v>314186</v>
      </c>
      <c r="AD169" s="841">
        <v>116664</v>
      </c>
      <c r="AE169" s="841">
        <v>3247</v>
      </c>
      <c r="AF169" s="841">
        <v>6804</v>
      </c>
      <c r="AG169" s="841">
        <v>25</v>
      </c>
      <c r="AH169" s="841">
        <v>7</v>
      </c>
      <c r="AI169" s="841">
        <v>0</v>
      </c>
      <c r="AJ169" s="841">
        <v>0</v>
      </c>
      <c r="AK169" s="841">
        <v>50946</v>
      </c>
      <c r="AL169" s="841">
        <v>28554</v>
      </c>
      <c r="AM169" s="841">
        <v>53914</v>
      </c>
      <c r="AN169" s="841">
        <f t="shared" si="4"/>
        <v>566048</v>
      </c>
      <c r="AO169" s="587" t="s">
        <v>1669</v>
      </c>
      <c r="AP169" s="587" t="s">
        <v>1670</v>
      </c>
      <c r="AQ169" s="115" t="s">
        <v>1671</v>
      </c>
    </row>
    <row r="170" spans="1:43" ht="60.75" hidden="1">
      <c r="A170" s="115">
        <v>1</v>
      </c>
      <c r="B170" s="597" t="s">
        <v>513</v>
      </c>
      <c r="C170" s="584">
        <v>19</v>
      </c>
      <c r="D170" s="115" t="s">
        <v>1559</v>
      </c>
      <c r="E170" s="23">
        <v>1903</v>
      </c>
      <c r="F170" s="115" t="s">
        <v>2109</v>
      </c>
      <c r="G170" s="635" t="s">
        <v>2110</v>
      </c>
      <c r="H170" s="636" t="s">
        <v>2111</v>
      </c>
      <c r="I170" s="585" t="s">
        <v>2112</v>
      </c>
      <c r="J170" s="637" t="s">
        <v>2113</v>
      </c>
      <c r="K170" s="638">
        <v>12</v>
      </c>
      <c r="L170" s="115"/>
      <c r="M170" s="115">
        <f t="shared" si="5"/>
        <v>12</v>
      </c>
      <c r="N170" s="587" t="s">
        <v>2114</v>
      </c>
      <c r="O170" s="456" t="s">
        <v>2115</v>
      </c>
      <c r="P170" s="456" t="s">
        <v>2118</v>
      </c>
      <c r="Q170" s="639">
        <v>30000000</v>
      </c>
      <c r="R170" s="589">
        <f>14800000</f>
        <v>14800000</v>
      </c>
      <c r="S170" s="589"/>
      <c r="T170" s="589"/>
      <c r="U170" s="589">
        <f>+Q170-R170+S170-T170</f>
        <v>15200000</v>
      </c>
      <c r="V170" s="590" t="s">
        <v>2117</v>
      </c>
      <c r="W170" s="23">
        <v>61</v>
      </c>
      <c r="X170" s="115" t="s">
        <v>1668</v>
      </c>
      <c r="Y170" s="840">
        <v>293304</v>
      </c>
      <c r="Z170" s="841">
        <v>272744</v>
      </c>
      <c r="AA170" s="841">
        <v>99059</v>
      </c>
      <c r="AB170" s="841">
        <v>36139</v>
      </c>
      <c r="AC170" s="841">
        <v>314186</v>
      </c>
      <c r="AD170" s="841">
        <v>116664</v>
      </c>
      <c r="AE170" s="841">
        <v>3247</v>
      </c>
      <c r="AF170" s="841">
        <v>6804</v>
      </c>
      <c r="AG170" s="841">
        <v>25</v>
      </c>
      <c r="AH170" s="841">
        <v>7</v>
      </c>
      <c r="AI170" s="841">
        <v>0</v>
      </c>
      <c r="AJ170" s="841">
        <v>0</v>
      </c>
      <c r="AK170" s="841">
        <v>50946</v>
      </c>
      <c r="AL170" s="841">
        <v>28554</v>
      </c>
      <c r="AM170" s="841">
        <v>53914</v>
      </c>
      <c r="AN170" s="841">
        <f t="shared" si="4"/>
        <v>566048</v>
      </c>
      <c r="AO170" s="587" t="s">
        <v>1669</v>
      </c>
      <c r="AP170" s="587" t="s">
        <v>1670</v>
      </c>
      <c r="AQ170" s="115" t="s">
        <v>1671</v>
      </c>
    </row>
    <row r="171" spans="1:43" ht="106.5" hidden="1">
      <c r="A171" s="115">
        <v>1</v>
      </c>
      <c r="B171" s="597" t="s">
        <v>513</v>
      </c>
      <c r="C171" s="584">
        <v>19</v>
      </c>
      <c r="D171" s="115" t="s">
        <v>1559</v>
      </c>
      <c r="E171" s="23">
        <v>1903</v>
      </c>
      <c r="F171" s="115" t="s">
        <v>2017</v>
      </c>
      <c r="G171" s="635" t="s">
        <v>2119</v>
      </c>
      <c r="H171" s="636" t="s">
        <v>729</v>
      </c>
      <c r="I171" s="585" t="s">
        <v>2120</v>
      </c>
      <c r="J171" s="636" t="s">
        <v>2121</v>
      </c>
      <c r="K171" s="638">
        <v>1</v>
      </c>
      <c r="L171" s="115"/>
      <c r="M171" s="115">
        <f t="shared" si="5"/>
        <v>1</v>
      </c>
      <c r="N171" s="587" t="s">
        <v>2114</v>
      </c>
      <c r="O171" s="456" t="s">
        <v>2115</v>
      </c>
      <c r="P171" s="456" t="s">
        <v>2122</v>
      </c>
      <c r="Q171" s="639">
        <v>48520426.920000002</v>
      </c>
      <c r="R171" s="589">
        <v>12000000</v>
      </c>
      <c r="S171" s="589"/>
      <c r="T171" s="589"/>
      <c r="U171" s="589">
        <f>+Q171-R171+S171-T171</f>
        <v>36520426.920000002</v>
      </c>
      <c r="V171" s="590" t="s">
        <v>2123</v>
      </c>
      <c r="W171" s="23">
        <v>61</v>
      </c>
      <c r="X171" s="115" t="s">
        <v>1668</v>
      </c>
      <c r="Y171" s="840">
        <v>293304</v>
      </c>
      <c r="Z171" s="841">
        <v>272744</v>
      </c>
      <c r="AA171" s="841">
        <v>99059</v>
      </c>
      <c r="AB171" s="841">
        <v>36139</v>
      </c>
      <c r="AC171" s="841">
        <v>314186</v>
      </c>
      <c r="AD171" s="841">
        <v>116664</v>
      </c>
      <c r="AE171" s="841">
        <v>3247</v>
      </c>
      <c r="AF171" s="841">
        <v>6804</v>
      </c>
      <c r="AG171" s="841">
        <v>25</v>
      </c>
      <c r="AH171" s="841">
        <v>7</v>
      </c>
      <c r="AI171" s="841">
        <v>0</v>
      </c>
      <c r="AJ171" s="841">
        <v>0</v>
      </c>
      <c r="AK171" s="841">
        <v>50946</v>
      </c>
      <c r="AL171" s="841">
        <v>28554</v>
      </c>
      <c r="AM171" s="841">
        <v>53914</v>
      </c>
      <c r="AN171" s="841">
        <f t="shared" si="4"/>
        <v>566048</v>
      </c>
      <c r="AO171" s="587" t="s">
        <v>1669</v>
      </c>
      <c r="AP171" s="587" t="s">
        <v>1670</v>
      </c>
      <c r="AQ171" s="115" t="s">
        <v>1671</v>
      </c>
    </row>
    <row r="172" spans="1:43" ht="91.5" hidden="1">
      <c r="A172" s="115">
        <v>1</v>
      </c>
      <c r="B172" s="597" t="s">
        <v>513</v>
      </c>
      <c r="C172" s="584">
        <v>19</v>
      </c>
      <c r="D172" s="115" t="s">
        <v>1559</v>
      </c>
      <c r="E172" s="23">
        <v>1905</v>
      </c>
      <c r="F172" s="115" t="s">
        <v>1659</v>
      </c>
      <c r="G172" s="585">
        <v>1905029</v>
      </c>
      <c r="H172" s="456" t="s">
        <v>2063</v>
      </c>
      <c r="I172" s="585">
        <v>190502902</v>
      </c>
      <c r="J172" s="456" t="s">
        <v>2124</v>
      </c>
      <c r="K172" s="115">
        <v>1</v>
      </c>
      <c r="L172" s="115"/>
      <c r="M172" s="115">
        <f t="shared" si="5"/>
        <v>1</v>
      </c>
      <c r="N172" s="587" t="s">
        <v>2125</v>
      </c>
      <c r="O172" s="456" t="s">
        <v>2126</v>
      </c>
      <c r="P172" s="456" t="s">
        <v>2127</v>
      </c>
      <c r="Q172" s="609">
        <v>611554699.10000002</v>
      </c>
      <c r="R172" s="589"/>
      <c r="S172" s="589"/>
      <c r="T172" s="589"/>
      <c r="U172" s="589">
        <f>+Q172-R172+S172-T172</f>
        <v>611554699.10000002</v>
      </c>
      <c r="V172" s="590" t="s">
        <v>2128</v>
      </c>
      <c r="W172" s="23">
        <v>61</v>
      </c>
      <c r="X172" s="115" t="s">
        <v>1668</v>
      </c>
      <c r="Y172" s="840">
        <v>293304</v>
      </c>
      <c r="Z172" s="841">
        <v>272744</v>
      </c>
      <c r="AA172" s="841">
        <v>99059</v>
      </c>
      <c r="AB172" s="841">
        <v>36139</v>
      </c>
      <c r="AC172" s="841">
        <v>314186</v>
      </c>
      <c r="AD172" s="841">
        <v>116664</v>
      </c>
      <c r="AE172" s="841">
        <v>3247</v>
      </c>
      <c r="AF172" s="841">
        <v>6804</v>
      </c>
      <c r="AG172" s="841">
        <v>25</v>
      </c>
      <c r="AH172" s="841">
        <v>7</v>
      </c>
      <c r="AI172" s="841">
        <v>0</v>
      </c>
      <c r="AJ172" s="841">
        <v>0</v>
      </c>
      <c r="AK172" s="841">
        <v>50946</v>
      </c>
      <c r="AL172" s="841">
        <v>28554</v>
      </c>
      <c r="AM172" s="841">
        <v>53914</v>
      </c>
      <c r="AN172" s="841">
        <f t="shared" si="4"/>
        <v>566048</v>
      </c>
      <c r="AO172" s="587" t="s">
        <v>1669</v>
      </c>
      <c r="AP172" s="587" t="s">
        <v>1670</v>
      </c>
      <c r="AQ172" s="115" t="s">
        <v>1671</v>
      </c>
    </row>
    <row r="173" spans="1:43" ht="60.75" hidden="1">
      <c r="A173" s="115">
        <v>1</v>
      </c>
      <c r="B173" s="597" t="s">
        <v>513</v>
      </c>
      <c r="C173" s="584">
        <v>19</v>
      </c>
      <c r="D173" s="115" t="s">
        <v>1559</v>
      </c>
      <c r="E173" s="23">
        <v>1905</v>
      </c>
      <c r="F173" s="115" t="s">
        <v>1659</v>
      </c>
      <c r="G173" s="585">
        <v>1905015</v>
      </c>
      <c r="H173" s="586" t="s">
        <v>491</v>
      </c>
      <c r="I173" s="585">
        <v>190501501</v>
      </c>
      <c r="J173" s="456" t="s">
        <v>2129</v>
      </c>
      <c r="K173" s="627">
        <v>1</v>
      </c>
      <c r="L173" s="115"/>
      <c r="M173" s="115">
        <f t="shared" si="5"/>
        <v>1</v>
      </c>
      <c r="N173" s="587" t="s">
        <v>2130</v>
      </c>
      <c r="O173" s="456" t="s">
        <v>2131</v>
      </c>
      <c r="P173" s="456" t="s">
        <v>2132</v>
      </c>
      <c r="Q173" s="626">
        <v>27000000</v>
      </c>
      <c r="R173" s="589">
        <f>5400000+2000000</f>
        <v>7400000</v>
      </c>
      <c r="S173" s="589"/>
      <c r="T173" s="589"/>
      <c r="U173" s="589">
        <f>+Q173-R173+S173-T173</f>
        <v>19600000</v>
      </c>
      <c r="V173" s="842" t="s">
        <v>2133</v>
      </c>
      <c r="W173" s="23">
        <v>61</v>
      </c>
      <c r="X173" s="115" t="s">
        <v>1668</v>
      </c>
      <c r="Y173" s="840">
        <v>293304</v>
      </c>
      <c r="Z173" s="841">
        <v>272744</v>
      </c>
      <c r="AA173" s="841">
        <v>99059</v>
      </c>
      <c r="AB173" s="841">
        <v>36139</v>
      </c>
      <c r="AC173" s="841">
        <v>314186</v>
      </c>
      <c r="AD173" s="841">
        <v>116664</v>
      </c>
      <c r="AE173" s="841">
        <v>3247</v>
      </c>
      <c r="AF173" s="841">
        <v>6804</v>
      </c>
      <c r="AG173" s="841">
        <v>25</v>
      </c>
      <c r="AH173" s="841">
        <v>7</v>
      </c>
      <c r="AI173" s="841">
        <v>0</v>
      </c>
      <c r="AJ173" s="841">
        <v>0</v>
      </c>
      <c r="AK173" s="841">
        <v>50946</v>
      </c>
      <c r="AL173" s="841">
        <v>28554</v>
      </c>
      <c r="AM173" s="841">
        <v>53914</v>
      </c>
      <c r="AN173" s="841">
        <f t="shared" si="4"/>
        <v>566048</v>
      </c>
      <c r="AO173" s="587" t="s">
        <v>1669</v>
      </c>
      <c r="AP173" s="587" t="s">
        <v>1670</v>
      </c>
      <c r="AQ173" s="115" t="s">
        <v>1671</v>
      </c>
    </row>
    <row r="174" spans="1:43" ht="60.75" hidden="1">
      <c r="A174" s="115">
        <v>1</v>
      </c>
      <c r="B174" s="597" t="s">
        <v>513</v>
      </c>
      <c r="C174" s="584">
        <v>19</v>
      </c>
      <c r="D174" s="115" t="s">
        <v>1559</v>
      </c>
      <c r="E174" s="23">
        <v>1905</v>
      </c>
      <c r="F174" s="115" t="s">
        <v>1659</v>
      </c>
      <c r="G174" s="585">
        <v>1905020</v>
      </c>
      <c r="H174" s="586" t="s">
        <v>2134</v>
      </c>
      <c r="I174" s="899">
        <v>190502000</v>
      </c>
      <c r="J174" s="456" t="s">
        <v>2135</v>
      </c>
      <c r="K174" s="608">
        <v>12</v>
      </c>
      <c r="L174" s="115"/>
      <c r="M174" s="115">
        <f t="shared" si="5"/>
        <v>12</v>
      </c>
      <c r="N174" s="587" t="s">
        <v>2130</v>
      </c>
      <c r="O174" s="456" t="s">
        <v>2131</v>
      </c>
      <c r="P174" s="456" t="s">
        <v>2136</v>
      </c>
      <c r="Q174" s="900">
        <v>13500000</v>
      </c>
      <c r="R174" s="589">
        <f>2400000+7400000</f>
        <v>9800000</v>
      </c>
      <c r="S174" s="589"/>
      <c r="T174" s="589"/>
      <c r="U174" s="589">
        <f>+Q174-R174+S174-T174</f>
        <v>3700000</v>
      </c>
      <c r="V174" s="590" t="s">
        <v>2137</v>
      </c>
      <c r="W174" s="23">
        <v>61</v>
      </c>
      <c r="X174" s="115" t="s">
        <v>1668</v>
      </c>
      <c r="Y174" s="840">
        <v>293304</v>
      </c>
      <c r="Z174" s="841">
        <v>272744</v>
      </c>
      <c r="AA174" s="841">
        <v>99059</v>
      </c>
      <c r="AB174" s="841">
        <v>36139</v>
      </c>
      <c r="AC174" s="841">
        <v>314186</v>
      </c>
      <c r="AD174" s="841">
        <v>116664</v>
      </c>
      <c r="AE174" s="841">
        <v>3247</v>
      </c>
      <c r="AF174" s="841">
        <v>6804</v>
      </c>
      <c r="AG174" s="841">
        <v>25</v>
      </c>
      <c r="AH174" s="841">
        <v>7</v>
      </c>
      <c r="AI174" s="841">
        <v>0</v>
      </c>
      <c r="AJ174" s="841">
        <v>0</v>
      </c>
      <c r="AK174" s="841">
        <v>50946</v>
      </c>
      <c r="AL174" s="841">
        <v>28554</v>
      </c>
      <c r="AM174" s="841">
        <v>53914</v>
      </c>
      <c r="AN174" s="841">
        <f t="shared" si="4"/>
        <v>566048</v>
      </c>
      <c r="AO174" s="587" t="s">
        <v>1669</v>
      </c>
      <c r="AP174" s="587" t="s">
        <v>1670</v>
      </c>
      <c r="AQ174" s="115" t="s">
        <v>1671</v>
      </c>
    </row>
    <row r="175" spans="1:43" ht="60.75" hidden="1">
      <c r="A175" s="115">
        <v>1</v>
      </c>
      <c r="B175" s="597" t="s">
        <v>513</v>
      </c>
      <c r="C175" s="584">
        <v>19</v>
      </c>
      <c r="D175" s="115" t="s">
        <v>1559</v>
      </c>
      <c r="E175" s="23">
        <v>1905</v>
      </c>
      <c r="F175" s="115" t="s">
        <v>1659</v>
      </c>
      <c r="G175" s="585">
        <v>1905020</v>
      </c>
      <c r="H175" s="586" t="s">
        <v>2134</v>
      </c>
      <c r="I175" s="899">
        <v>190502000</v>
      </c>
      <c r="J175" s="456" t="s">
        <v>2135</v>
      </c>
      <c r="K175" s="608">
        <v>12</v>
      </c>
      <c r="L175" s="115"/>
      <c r="M175" s="115">
        <f t="shared" si="5"/>
        <v>12</v>
      </c>
      <c r="N175" s="587" t="s">
        <v>2130</v>
      </c>
      <c r="O175" s="456" t="s">
        <v>2131</v>
      </c>
      <c r="P175" s="456" t="s">
        <v>2138</v>
      </c>
      <c r="Q175" s="900">
        <v>13500000</v>
      </c>
      <c r="R175" s="589">
        <v>7400000</v>
      </c>
      <c r="S175" s="589"/>
      <c r="T175" s="589"/>
      <c r="U175" s="589">
        <f>+Q175-R175+S175-T175</f>
        <v>6100000</v>
      </c>
      <c r="V175" s="590" t="s">
        <v>2137</v>
      </c>
      <c r="W175" s="23">
        <v>61</v>
      </c>
      <c r="X175" s="115" t="s">
        <v>1668</v>
      </c>
      <c r="Y175" s="840">
        <v>293304</v>
      </c>
      <c r="Z175" s="841">
        <v>272744</v>
      </c>
      <c r="AA175" s="841">
        <v>99059</v>
      </c>
      <c r="AB175" s="841">
        <v>36139</v>
      </c>
      <c r="AC175" s="841">
        <v>314186</v>
      </c>
      <c r="AD175" s="841">
        <v>116664</v>
      </c>
      <c r="AE175" s="841">
        <v>3247</v>
      </c>
      <c r="AF175" s="841">
        <v>6804</v>
      </c>
      <c r="AG175" s="841">
        <v>25</v>
      </c>
      <c r="AH175" s="841">
        <v>7</v>
      </c>
      <c r="AI175" s="841">
        <v>0</v>
      </c>
      <c r="AJ175" s="841">
        <v>0</v>
      </c>
      <c r="AK175" s="841">
        <v>50946</v>
      </c>
      <c r="AL175" s="841">
        <v>28554</v>
      </c>
      <c r="AM175" s="841">
        <v>53914</v>
      </c>
      <c r="AN175" s="841">
        <f t="shared" si="4"/>
        <v>566048</v>
      </c>
      <c r="AO175" s="587" t="s">
        <v>1669</v>
      </c>
      <c r="AP175" s="587" t="s">
        <v>1670</v>
      </c>
      <c r="AQ175" s="115" t="s">
        <v>1671</v>
      </c>
    </row>
    <row r="176" spans="1:43" ht="121.5" hidden="1">
      <c r="A176" s="115">
        <v>1</v>
      </c>
      <c r="B176" s="597" t="s">
        <v>513</v>
      </c>
      <c r="C176" s="584">
        <v>19</v>
      </c>
      <c r="D176" s="115" t="s">
        <v>1559</v>
      </c>
      <c r="E176" s="23">
        <v>1905</v>
      </c>
      <c r="F176" s="115" t="s">
        <v>1659</v>
      </c>
      <c r="G176" s="585" t="s">
        <v>2139</v>
      </c>
      <c r="H176" s="586" t="s">
        <v>2134</v>
      </c>
      <c r="I176" s="899">
        <v>190502002</v>
      </c>
      <c r="J176" s="456" t="s">
        <v>2140</v>
      </c>
      <c r="K176" s="608">
        <v>12</v>
      </c>
      <c r="L176" s="115"/>
      <c r="M176" s="115">
        <f t="shared" si="5"/>
        <v>12</v>
      </c>
      <c r="N176" s="587" t="s">
        <v>2130</v>
      </c>
      <c r="O176" s="456" t="s">
        <v>2131</v>
      </c>
      <c r="P176" s="456" t="s">
        <v>2141</v>
      </c>
      <c r="Q176" s="900">
        <v>15000000</v>
      </c>
      <c r="R176" s="589">
        <f>5000000+2400000</f>
        <v>7400000</v>
      </c>
      <c r="S176" s="589"/>
      <c r="T176" s="589"/>
      <c r="U176" s="589">
        <f>+Q176-R176+S176-T176</f>
        <v>7600000</v>
      </c>
      <c r="V176" s="590" t="s">
        <v>2137</v>
      </c>
      <c r="W176" s="23">
        <v>61</v>
      </c>
      <c r="X176" s="115" t="s">
        <v>1668</v>
      </c>
      <c r="Y176" s="840">
        <v>293304</v>
      </c>
      <c r="Z176" s="841">
        <v>272744</v>
      </c>
      <c r="AA176" s="841">
        <v>99059</v>
      </c>
      <c r="AB176" s="841">
        <v>36139</v>
      </c>
      <c r="AC176" s="841">
        <v>314186</v>
      </c>
      <c r="AD176" s="841">
        <v>116664</v>
      </c>
      <c r="AE176" s="841">
        <v>3247</v>
      </c>
      <c r="AF176" s="841">
        <v>6804</v>
      </c>
      <c r="AG176" s="841">
        <v>25</v>
      </c>
      <c r="AH176" s="841">
        <v>7</v>
      </c>
      <c r="AI176" s="841">
        <v>0</v>
      </c>
      <c r="AJ176" s="841">
        <v>0</v>
      </c>
      <c r="AK176" s="841">
        <v>50946</v>
      </c>
      <c r="AL176" s="841">
        <v>28554</v>
      </c>
      <c r="AM176" s="841">
        <v>53914</v>
      </c>
      <c r="AN176" s="841">
        <f t="shared" si="4"/>
        <v>566048</v>
      </c>
      <c r="AO176" s="587" t="s">
        <v>1669</v>
      </c>
      <c r="AP176" s="587" t="s">
        <v>1670</v>
      </c>
      <c r="AQ176" s="115" t="s">
        <v>1671</v>
      </c>
    </row>
    <row r="177" spans="1:43" ht="76.5" hidden="1">
      <c r="A177" s="115">
        <v>1</v>
      </c>
      <c r="B177" s="597" t="s">
        <v>513</v>
      </c>
      <c r="C177" s="584">
        <v>19</v>
      </c>
      <c r="D177" s="115" t="s">
        <v>1559</v>
      </c>
      <c r="E177" s="23">
        <v>1905</v>
      </c>
      <c r="F177" s="115" t="s">
        <v>1659</v>
      </c>
      <c r="G177" s="585" t="s">
        <v>2139</v>
      </c>
      <c r="H177" s="586" t="s">
        <v>2134</v>
      </c>
      <c r="I177" s="899">
        <v>190502002</v>
      </c>
      <c r="J177" s="456" t="s">
        <v>2140</v>
      </c>
      <c r="K177" s="608">
        <v>12</v>
      </c>
      <c r="L177" s="115"/>
      <c r="M177" s="115">
        <f t="shared" si="5"/>
        <v>12</v>
      </c>
      <c r="N177" s="587" t="s">
        <v>2130</v>
      </c>
      <c r="O177" s="456" t="s">
        <v>2131</v>
      </c>
      <c r="P177" s="456" t="s">
        <v>2142</v>
      </c>
      <c r="Q177" s="900">
        <v>15000000</v>
      </c>
      <c r="R177" s="589">
        <v>7400000</v>
      </c>
      <c r="S177" s="589"/>
      <c r="T177" s="589"/>
      <c r="U177" s="589">
        <f>+Q177-R177+S177-T177</f>
        <v>7600000</v>
      </c>
      <c r="V177" s="590" t="s">
        <v>2137</v>
      </c>
      <c r="W177" s="23">
        <v>61</v>
      </c>
      <c r="X177" s="115" t="s">
        <v>1668</v>
      </c>
      <c r="Y177" s="840">
        <v>293304</v>
      </c>
      <c r="Z177" s="841">
        <v>272744</v>
      </c>
      <c r="AA177" s="841">
        <v>99059</v>
      </c>
      <c r="AB177" s="841">
        <v>36139</v>
      </c>
      <c r="AC177" s="841">
        <v>314186</v>
      </c>
      <c r="AD177" s="841">
        <v>116664</v>
      </c>
      <c r="AE177" s="841">
        <v>3247</v>
      </c>
      <c r="AF177" s="841">
        <v>6804</v>
      </c>
      <c r="AG177" s="841">
        <v>25</v>
      </c>
      <c r="AH177" s="841">
        <v>7</v>
      </c>
      <c r="AI177" s="841">
        <v>0</v>
      </c>
      <c r="AJ177" s="841">
        <v>0</v>
      </c>
      <c r="AK177" s="841">
        <v>50946</v>
      </c>
      <c r="AL177" s="841">
        <v>28554</v>
      </c>
      <c r="AM177" s="841">
        <v>53914</v>
      </c>
      <c r="AN177" s="841">
        <f t="shared" si="4"/>
        <v>566048</v>
      </c>
      <c r="AO177" s="587" t="s">
        <v>1669</v>
      </c>
      <c r="AP177" s="587" t="s">
        <v>1670</v>
      </c>
      <c r="AQ177" s="115" t="s">
        <v>1671</v>
      </c>
    </row>
    <row r="178" spans="1:43" ht="113.25" hidden="1" customHeight="1">
      <c r="A178" s="115">
        <v>1</v>
      </c>
      <c r="B178" s="597" t="s">
        <v>513</v>
      </c>
      <c r="C178" s="584">
        <v>19</v>
      </c>
      <c r="D178" s="115" t="s">
        <v>1559</v>
      </c>
      <c r="E178" s="23">
        <v>1905</v>
      </c>
      <c r="F178" s="115" t="s">
        <v>1659</v>
      </c>
      <c r="G178" s="585">
        <v>1905022</v>
      </c>
      <c r="H178" s="586" t="s">
        <v>1566</v>
      </c>
      <c r="I178" s="585">
        <v>190502200</v>
      </c>
      <c r="J178" s="456" t="s">
        <v>1567</v>
      </c>
      <c r="K178" s="608">
        <v>12</v>
      </c>
      <c r="L178" s="115"/>
      <c r="M178" s="115">
        <f t="shared" si="5"/>
        <v>12</v>
      </c>
      <c r="N178" s="587" t="s">
        <v>2130</v>
      </c>
      <c r="O178" s="456" t="s">
        <v>2131</v>
      </c>
      <c r="P178" s="456" t="s">
        <v>2143</v>
      </c>
      <c r="Q178" s="626">
        <v>80000000</v>
      </c>
      <c r="R178" s="589">
        <f>4000000+2400000+10000000+2000000</f>
        <v>18400000</v>
      </c>
      <c r="S178" s="589"/>
      <c r="T178" s="589"/>
      <c r="U178" s="589">
        <f>+Q178-R178+S178-T178</f>
        <v>61600000</v>
      </c>
      <c r="V178" s="590" t="s">
        <v>2144</v>
      </c>
      <c r="W178" s="23">
        <v>61</v>
      </c>
      <c r="X178" s="115" t="s">
        <v>1668</v>
      </c>
      <c r="Y178" s="840">
        <v>293304</v>
      </c>
      <c r="Z178" s="841">
        <v>272744</v>
      </c>
      <c r="AA178" s="841">
        <v>99059</v>
      </c>
      <c r="AB178" s="841">
        <v>36139</v>
      </c>
      <c r="AC178" s="841">
        <v>314186</v>
      </c>
      <c r="AD178" s="841">
        <v>116664</v>
      </c>
      <c r="AE178" s="841">
        <v>3247</v>
      </c>
      <c r="AF178" s="841">
        <v>6804</v>
      </c>
      <c r="AG178" s="841">
        <v>25</v>
      </c>
      <c r="AH178" s="841">
        <v>7</v>
      </c>
      <c r="AI178" s="841">
        <v>0</v>
      </c>
      <c r="AJ178" s="841">
        <v>0</v>
      </c>
      <c r="AK178" s="841">
        <v>50946</v>
      </c>
      <c r="AL178" s="841">
        <v>28554</v>
      </c>
      <c r="AM178" s="841">
        <v>53914</v>
      </c>
      <c r="AN178" s="841">
        <f t="shared" si="4"/>
        <v>566048</v>
      </c>
      <c r="AO178" s="587" t="s">
        <v>1669</v>
      </c>
      <c r="AP178" s="587" t="s">
        <v>1670</v>
      </c>
      <c r="AQ178" s="115" t="s">
        <v>1671</v>
      </c>
    </row>
    <row r="179" spans="1:43" ht="87" hidden="1" customHeight="1">
      <c r="A179" s="115">
        <v>1</v>
      </c>
      <c r="B179" s="597" t="s">
        <v>513</v>
      </c>
      <c r="C179" s="584">
        <v>19</v>
      </c>
      <c r="D179" s="115" t="s">
        <v>1559</v>
      </c>
      <c r="E179" s="23">
        <v>1905</v>
      </c>
      <c r="F179" s="115" t="s">
        <v>1659</v>
      </c>
      <c r="G179" s="585">
        <v>1905022</v>
      </c>
      <c r="H179" s="586" t="s">
        <v>1566</v>
      </c>
      <c r="I179" s="585">
        <v>190502200</v>
      </c>
      <c r="J179" s="456" t="s">
        <v>1567</v>
      </c>
      <c r="K179" s="608">
        <v>12</v>
      </c>
      <c r="L179" s="115"/>
      <c r="M179" s="115">
        <f t="shared" si="5"/>
        <v>12</v>
      </c>
      <c r="N179" s="587" t="s">
        <v>2130</v>
      </c>
      <c r="O179" s="456" t="s">
        <v>2131</v>
      </c>
      <c r="P179" s="456" t="s">
        <v>2145</v>
      </c>
      <c r="Q179" s="626">
        <v>50000000</v>
      </c>
      <c r="R179" s="589"/>
      <c r="S179" s="589"/>
      <c r="T179" s="589"/>
      <c r="U179" s="589">
        <f>+Q179-R179+S179-T179</f>
        <v>50000000</v>
      </c>
      <c r="V179" s="590" t="s">
        <v>2146</v>
      </c>
      <c r="W179" s="23">
        <v>20</v>
      </c>
      <c r="X179" s="115" t="s">
        <v>67</v>
      </c>
      <c r="Y179" s="840">
        <v>293304</v>
      </c>
      <c r="Z179" s="841">
        <v>272744</v>
      </c>
      <c r="AA179" s="841">
        <v>99059</v>
      </c>
      <c r="AB179" s="841">
        <v>36139</v>
      </c>
      <c r="AC179" s="841">
        <v>314186</v>
      </c>
      <c r="AD179" s="841">
        <v>116664</v>
      </c>
      <c r="AE179" s="841">
        <v>3247</v>
      </c>
      <c r="AF179" s="841">
        <v>6804</v>
      </c>
      <c r="AG179" s="841">
        <v>25</v>
      </c>
      <c r="AH179" s="841">
        <v>7</v>
      </c>
      <c r="AI179" s="841">
        <v>0</v>
      </c>
      <c r="AJ179" s="841">
        <v>0</v>
      </c>
      <c r="AK179" s="841">
        <v>50946</v>
      </c>
      <c r="AL179" s="841">
        <v>28554</v>
      </c>
      <c r="AM179" s="841">
        <v>53914</v>
      </c>
      <c r="AN179" s="841">
        <f t="shared" si="4"/>
        <v>566048</v>
      </c>
      <c r="AO179" s="587" t="s">
        <v>1669</v>
      </c>
      <c r="AP179" s="587" t="s">
        <v>1670</v>
      </c>
      <c r="AQ179" s="115" t="s">
        <v>1671</v>
      </c>
    </row>
    <row r="180" spans="1:43" ht="76.5" hidden="1">
      <c r="A180" s="115">
        <v>1</v>
      </c>
      <c r="B180" s="597" t="s">
        <v>513</v>
      </c>
      <c r="C180" s="584">
        <v>19</v>
      </c>
      <c r="D180" s="115" t="s">
        <v>1559</v>
      </c>
      <c r="E180" s="23">
        <v>1905</v>
      </c>
      <c r="F180" s="115" t="s">
        <v>1659</v>
      </c>
      <c r="G180" s="585">
        <v>1905022</v>
      </c>
      <c r="H180" s="586" t="s">
        <v>1566</v>
      </c>
      <c r="I180" s="585">
        <v>190502202</v>
      </c>
      <c r="J180" s="456" t="s">
        <v>2147</v>
      </c>
      <c r="K180" s="627">
        <v>11</v>
      </c>
      <c r="L180" s="115"/>
      <c r="M180" s="115">
        <f t="shared" si="5"/>
        <v>11</v>
      </c>
      <c r="N180" s="587" t="s">
        <v>2130</v>
      </c>
      <c r="O180" s="456" t="s">
        <v>2131</v>
      </c>
      <c r="P180" s="456" t="s">
        <v>2148</v>
      </c>
      <c r="Q180" s="626">
        <v>30000000</v>
      </c>
      <c r="R180" s="589">
        <f>6000000+3700000+2000000</f>
        <v>11700000</v>
      </c>
      <c r="S180" s="589"/>
      <c r="T180" s="589"/>
      <c r="U180" s="589">
        <f>+Q180-R180+S180-T180</f>
        <v>18300000</v>
      </c>
      <c r="V180" s="590" t="s">
        <v>2144</v>
      </c>
      <c r="W180" s="23">
        <v>61</v>
      </c>
      <c r="X180" s="115" t="s">
        <v>1668</v>
      </c>
      <c r="Y180" s="840">
        <v>293304</v>
      </c>
      <c r="Z180" s="841">
        <v>272744</v>
      </c>
      <c r="AA180" s="841">
        <v>99059</v>
      </c>
      <c r="AB180" s="841">
        <v>36139</v>
      </c>
      <c r="AC180" s="841">
        <v>314186</v>
      </c>
      <c r="AD180" s="841">
        <v>116664</v>
      </c>
      <c r="AE180" s="841">
        <v>3247</v>
      </c>
      <c r="AF180" s="841">
        <v>6804</v>
      </c>
      <c r="AG180" s="841">
        <v>25</v>
      </c>
      <c r="AH180" s="841">
        <v>7</v>
      </c>
      <c r="AI180" s="841">
        <v>0</v>
      </c>
      <c r="AJ180" s="841">
        <v>0</v>
      </c>
      <c r="AK180" s="841">
        <v>50946</v>
      </c>
      <c r="AL180" s="841">
        <v>28554</v>
      </c>
      <c r="AM180" s="841">
        <v>53914</v>
      </c>
      <c r="AN180" s="841">
        <f t="shared" si="4"/>
        <v>566048</v>
      </c>
      <c r="AO180" s="587" t="s">
        <v>1669</v>
      </c>
      <c r="AP180" s="587" t="s">
        <v>1670</v>
      </c>
      <c r="AQ180" s="115" t="s">
        <v>1671</v>
      </c>
    </row>
    <row r="181" spans="1:43" ht="76.5" hidden="1">
      <c r="A181" s="115">
        <v>1</v>
      </c>
      <c r="B181" s="597" t="s">
        <v>513</v>
      </c>
      <c r="C181" s="584">
        <v>19</v>
      </c>
      <c r="D181" s="115" t="s">
        <v>1559</v>
      </c>
      <c r="E181" s="23">
        <v>1905</v>
      </c>
      <c r="F181" s="115" t="s">
        <v>1659</v>
      </c>
      <c r="G181" s="585">
        <v>1905050</v>
      </c>
      <c r="H181" s="586" t="s">
        <v>162</v>
      </c>
      <c r="I181" s="585">
        <v>190505002</v>
      </c>
      <c r="J181" s="456" t="s">
        <v>230</v>
      </c>
      <c r="K181" s="608">
        <v>12</v>
      </c>
      <c r="L181" s="115"/>
      <c r="M181" s="115">
        <f t="shared" si="5"/>
        <v>12</v>
      </c>
      <c r="N181" s="587" t="s">
        <v>2130</v>
      </c>
      <c r="O181" s="456" t="s">
        <v>2131</v>
      </c>
      <c r="P181" s="456" t="s">
        <v>2149</v>
      </c>
      <c r="Q181" s="626">
        <v>14000000</v>
      </c>
      <c r="R181" s="589">
        <f>2800000+3700000+2000000</f>
        <v>8500000</v>
      </c>
      <c r="S181" s="589"/>
      <c r="T181" s="589"/>
      <c r="U181" s="589">
        <f>+Q181-R181+S181-T181</f>
        <v>5500000</v>
      </c>
      <c r="V181" s="590" t="s">
        <v>2150</v>
      </c>
      <c r="W181" s="23">
        <v>61</v>
      </c>
      <c r="X181" s="115" t="s">
        <v>1668</v>
      </c>
      <c r="Y181" s="840">
        <v>293304</v>
      </c>
      <c r="Z181" s="841">
        <v>272744</v>
      </c>
      <c r="AA181" s="841">
        <v>99059</v>
      </c>
      <c r="AB181" s="841">
        <v>36139</v>
      </c>
      <c r="AC181" s="841">
        <v>314186</v>
      </c>
      <c r="AD181" s="841">
        <v>116664</v>
      </c>
      <c r="AE181" s="841">
        <v>3247</v>
      </c>
      <c r="AF181" s="841">
        <v>6804</v>
      </c>
      <c r="AG181" s="841">
        <v>25</v>
      </c>
      <c r="AH181" s="841">
        <v>7</v>
      </c>
      <c r="AI181" s="841">
        <v>0</v>
      </c>
      <c r="AJ181" s="841">
        <v>0</v>
      </c>
      <c r="AK181" s="841">
        <v>50946</v>
      </c>
      <c r="AL181" s="841">
        <v>28554</v>
      </c>
      <c r="AM181" s="841">
        <v>53914</v>
      </c>
      <c r="AN181" s="841">
        <f t="shared" si="4"/>
        <v>566048</v>
      </c>
      <c r="AO181" s="587" t="s">
        <v>1669</v>
      </c>
      <c r="AP181" s="587" t="s">
        <v>1670</v>
      </c>
      <c r="AQ181" s="115" t="s">
        <v>1671</v>
      </c>
    </row>
    <row r="182" spans="1:43" ht="60.75" hidden="1">
      <c r="A182" s="115">
        <v>1</v>
      </c>
      <c r="B182" s="597" t="s">
        <v>513</v>
      </c>
      <c r="C182" s="584">
        <v>19</v>
      </c>
      <c r="D182" s="115" t="s">
        <v>1559</v>
      </c>
      <c r="E182" s="23">
        <v>1905</v>
      </c>
      <c r="F182" s="115" t="s">
        <v>1659</v>
      </c>
      <c r="G182" s="585">
        <v>1905050</v>
      </c>
      <c r="H182" s="586" t="s">
        <v>162</v>
      </c>
      <c r="I182" s="585">
        <v>190505002</v>
      </c>
      <c r="J182" s="456" t="s">
        <v>230</v>
      </c>
      <c r="K182" s="608">
        <v>12</v>
      </c>
      <c r="L182" s="115"/>
      <c r="M182" s="115">
        <f t="shared" si="5"/>
        <v>12</v>
      </c>
      <c r="N182" s="587" t="s">
        <v>2130</v>
      </c>
      <c r="O182" s="456" t="s">
        <v>2131</v>
      </c>
      <c r="P182" s="456" t="s">
        <v>2151</v>
      </c>
      <c r="Q182" s="626">
        <v>14780640.379999999</v>
      </c>
      <c r="R182" s="589">
        <f>2000000+2000000+1200000</f>
        <v>5200000</v>
      </c>
      <c r="S182" s="589"/>
      <c r="T182" s="589"/>
      <c r="U182" s="589">
        <f>+Q182-R182+S182-T182</f>
        <v>9580640.379999999</v>
      </c>
      <c r="V182" s="590" t="s">
        <v>2150</v>
      </c>
      <c r="W182" s="23">
        <v>61</v>
      </c>
      <c r="X182" s="115" t="s">
        <v>1668</v>
      </c>
      <c r="Y182" s="840">
        <v>293304</v>
      </c>
      <c r="Z182" s="841">
        <v>272744</v>
      </c>
      <c r="AA182" s="841">
        <v>99059</v>
      </c>
      <c r="AB182" s="841">
        <v>36139</v>
      </c>
      <c r="AC182" s="841">
        <v>314186</v>
      </c>
      <c r="AD182" s="841">
        <v>116664</v>
      </c>
      <c r="AE182" s="841">
        <v>3247</v>
      </c>
      <c r="AF182" s="841">
        <v>6804</v>
      </c>
      <c r="AG182" s="841">
        <v>25</v>
      </c>
      <c r="AH182" s="841">
        <v>7</v>
      </c>
      <c r="AI182" s="841">
        <v>0</v>
      </c>
      <c r="AJ182" s="841">
        <v>0</v>
      </c>
      <c r="AK182" s="841">
        <v>50946</v>
      </c>
      <c r="AL182" s="841">
        <v>28554</v>
      </c>
      <c r="AM182" s="841">
        <v>53914</v>
      </c>
      <c r="AN182" s="841">
        <f t="shared" si="4"/>
        <v>566048</v>
      </c>
      <c r="AO182" s="587" t="s">
        <v>1669</v>
      </c>
      <c r="AP182" s="587" t="s">
        <v>1670</v>
      </c>
      <c r="AQ182" s="115" t="s">
        <v>1671</v>
      </c>
    </row>
    <row r="183" spans="1:43" ht="45.75" hidden="1">
      <c r="A183" s="115">
        <v>1</v>
      </c>
      <c r="B183" s="597" t="s">
        <v>513</v>
      </c>
      <c r="C183" s="584">
        <v>19</v>
      </c>
      <c r="D183" s="115" t="s">
        <v>1559</v>
      </c>
      <c r="E183" s="23">
        <v>1903</v>
      </c>
      <c r="F183" s="115" t="s">
        <v>2017</v>
      </c>
      <c r="G183" s="585">
        <v>1903009</v>
      </c>
      <c r="H183" s="586" t="s">
        <v>2152</v>
      </c>
      <c r="I183" s="585">
        <v>190300900</v>
      </c>
      <c r="J183" s="456" t="s">
        <v>2153</v>
      </c>
      <c r="K183" s="627">
        <v>100</v>
      </c>
      <c r="L183" s="115"/>
      <c r="M183" s="115">
        <f t="shared" si="5"/>
        <v>100</v>
      </c>
      <c r="N183" s="587" t="s">
        <v>2154</v>
      </c>
      <c r="O183" s="456" t="s">
        <v>2155</v>
      </c>
      <c r="P183" s="456" t="s">
        <v>2156</v>
      </c>
      <c r="Q183" s="626">
        <v>37000000</v>
      </c>
      <c r="R183" s="589">
        <f>14800000+14800000</f>
        <v>29600000</v>
      </c>
      <c r="S183" s="589"/>
      <c r="T183" s="589"/>
      <c r="U183" s="589">
        <f>+Q183-R183+S183-T183</f>
        <v>7400000</v>
      </c>
      <c r="V183" s="590" t="s">
        <v>2157</v>
      </c>
      <c r="W183" s="23">
        <v>61</v>
      </c>
      <c r="X183" s="115" t="s">
        <v>1668</v>
      </c>
      <c r="Y183" s="640">
        <v>293304</v>
      </c>
      <c r="Z183" s="640">
        <v>272744</v>
      </c>
      <c r="AA183" s="640">
        <v>99059</v>
      </c>
      <c r="AB183" s="640">
        <v>36139</v>
      </c>
      <c r="AC183" s="640">
        <v>314186</v>
      </c>
      <c r="AD183" s="640">
        <v>116664</v>
      </c>
      <c r="AE183" s="640">
        <v>3247</v>
      </c>
      <c r="AF183" s="640">
        <v>6804</v>
      </c>
      <c r="AG183" s="640">
        <v>25</v>
      </c>
      <c r="AH183" s="640">
        <v>7</v>
      </c>
      <c r="AI183" s="640">
        <v>0</v>
      </c>
      <c r="AJ183" s="640">
        <v>0</v>
      </c>
      <c r="AK183" s="640">
        <v>50946</v>
      </c>
      <c r="AL183" s="640">
        <v>28554</v>
      </c>
      <c r="AM183" s="640">
        <v>53914</v>
      </c>
      <c r="AN183" s="641">
        <f>Y183+Z183</f>
        <v>566048</v>
      </c>
      <c r="AO183" s="587" t="s">
        <v>1669</v>
      </c>
      <c r="AP183" s="587" t="s">
        <v>1670</v>
      </c>
      <c r="AQ183" s="115" t="s">
        <v>1671</v>
      </c>
    </row>
    <row r="184" spans="1:43" ht="45.75" hidden="1">
      <c r="A184" s="115">
        <v>1</v>
      </c>
      <c r="B184" s="597" t="s">
        <v>513</v>
      </c>
      <c r="C184" s="584">
        <v>19</v>
      </c>
      <c r="D184" s="115" t="s">
        <v>1559</v>
      </c>
      <c r="E184" s="23">
        <v>1903</v>
      </c>
      <c r="F184" s="115" t="s">
        <v>2109</v>
      </c>
      <c r="G184" s="635">
        <v>1903001</v>
      </c>
      <c r="H184" s="642" t="s">
        <v>729</v>
      </c>
      <c r="I184" s="585">
        <v>190300101</v>
      </c>
      <c r="J184" s="586" t="s">
        <v>2158</v>
      </c>
      <c r="K184" s="627">
        <v>2</v>
      </c>
      <c r="L184" s="115"/>
      <c r="M184" s="115">
        <f t="shared" si="5"/>
        <v>2</v>
      </c>
      <c r="N184" s="587" t="s">
        <v>2154</v>
      </c>
      <c r="O184" s="456" t="s">
        <v>2155</v>
      </c>
      <c r="P184" s="456" t="s">
        <v>2159</v>
      </c>
      <c r="Q184" s="626">
        <v>50000000</v>
      </c>
      <c r="R184" s="589">
        <f>14800000+14800000</f>
        <v>29600000</v>
      </c>
      <c r="S184" s="589"/>
      <c r="T184" s="589"/>
      <c r="U184" s="589">
        <f>+Q184-R184+S184-T184</f>
        <v>20400000</v>
      </c>
      <c r="V184" s="590" t="s">
        <v>2160</v>
      </c>
      <c r="W184" s="23">
        <v>61</v>
      </c>
      <c r="X184" s="115" t="s">
        <v>1668</v>
      </c>
      <c r="Y184" s="640">
        <v>293304</v>
      </c>
      <c r="Z184" s="640">
        <v>272744</v>
      </c>
      <c r="AA184" s="640">
        <v>99059</v>
      </c>
      <c r="AB184" s="640">
        <v>36139</v>
      </c>
      <c r="AC184" s="640">
        <v>314186</v>
      </c>
      <c r="AD184" s="640">
        <v>116664</v>
      </c>
      <c r="AE184" s="640">
        <v>3247</v>
      </c>
      <c r="AF184" s="640">
        <v>6804</v>
      </c>
      <c r="AG184" s="640">
        <v>25</v>
      </c>
      <c r="AH184" s="640">
        <v>7</v>
      </c>
      <c r="AI184" s="640">
        <v>0</v>
      </c>
      <c r="AJ184" s="640">
        <v>0</v>
      </c>
      <c r="AK184" s="640">
        <v>50946</v>
      </c>
      <c r="AL184" s="640">
        <v>28554</v>
      </c>
      <c r="AM184" s="640">
        <v>53914</v>
      </c>
      <c r="AN184" s="641">
        <f t="shared" ref="AN184:AN191" si="6">Y184+Z184</f>
        <v>566048</v>
      </c>
      <c r="AO184" s="587" t="s">
        <v>1669</v>
      </c>
      <c r="AP184" s="587" t="s">
        <v>1670</v>
      </c>
      <c r="AQ184" s="115" t="s">
        <v>1671</v>
      </c>
    </row>
    <row r="185" spans="1:43" ht="60.75" hidden="1">
      <c r="A185" s="115">
        <v>1</v>
      </c>
      <c r="B185" s="597" t="s">
        <v>513</v>
      </c>
      <c r="C185" s="584">
        <v>19</v>
      </c>
      <c r="D185" s="115" t="s">
        <v>1559</v>
      </c>
      <c r="E185" s="23">
        <v>1903</v>
      </c>
      <c r="F185" s="115" t="s">
        <v>2017</v>
      </c>
      <c r="G185" s="635">
        <v>1903023</v>
      </c>
      <c r="H185" s="642" t="s">
        <v>2161</v>
      </c>
      <c r="I185" s="585">
        <v>190302300</v>
      </c>
      <c r="J185" s="586" t="s">
        <v>2162</v>
      </c>
      <c r="K185" s="643">
        <v>200</v>
      </c>
      <c r="L185" s="115"/>
      <c r="M185" s="115">
        <f t="shared" si="5"/>
        <v>200</v>
      </c>
      <c r="N185" s="587" t="s">
        <v>2154</v>
      </c>
      <c r="O185" s="456" t="s">
        <v>2155</v>
      </c>
      <c r="P185" s="456" t="s">
        <v>2163</v>
      </c>
      <c r="Q185" s="626">
        <v>81196323.760000005</v>
      </c>
      <c r="R185" s="589">
        <v>14800000</v>
      </c>
      <c r="S185" s="589"/>
      <c r="T185" s="589"/>
      <c r="U185" s="589">
        <f>+Q185-R185+S185-T185</f>
        <v>66396323.760000005</v>
      </c>
      <c r="V185" s="590" t="s">
        <v>2164</v>
      </c>
      <c r="W185" s="23">
        <v>61</v>
      </c>
      <c r="X185" s="115" t="s">
        <v>1668</v>
      </c>
      <c r="Y185" s="640">
        <v>293304</v>
      </c>
      <c r="Z185" s="640">
        <v>272744</v>
      </c>
      <c r="AA185" s="640">
        <v>99059</v>
      </c>
      <c r="AB185" s="640">
        <v>36139</v>
      </c>
      <c r="AC185" s="640">
        <v>314186</v>
      </c>
      <c r="AD185" s="640">
        <v>116664</v>
      </c>
      <c r="AE185" s="640">
        <v>3247</v>
      </c>
      <c r="AF185" s="640">
        <v>6804</v>
      </c>
      <c r="AG185" s="640">
        <v>25</v>
      </c>
      <c r="AH185" s="640">
        <v>7</v>
      </c>
      <c r="AI185" s="640">
        <v>0</v>
      </c>
      <c r="AJ185" s="640">
        <v>0</v>
      </c>
      <c r="AK185" s="640">
        <v>50946</v>
      </c>
      <c r="AL185" s="640">
        <v>28554</v>
      </c>
      <c r="AM185" s="640">
        <v>53914</v>
      </c>
      <c r="AN185" s="641">
        <f t="shared" si="6"/>
        <v>566048</v>
      </c>
      <c r="AO185" s="587" t="s">
        <v>1669</v>
      </c>
      <c r="AP185" s="587" t="s">
        <v>1670</v>
      </c>
      <c r="AQ185" s="115" t="s">
        <v>1671</v>
      </c>
    </row>
    <row r="186" spans="1:43" ht="60.75" hidden="1">
      <c r="A186" s="115">
        <v>1</v>
      </c>
      <c r="B186" s="597" t="s">
        <v>513</v>
      </c>
      <c r="C186" s="584">
        <v>19</v>
      </c>
      <c r="D186" s="115" t="s">
        <v>1559</v>
      </c>
      <c r="E186" s="23">
        <v>1903</v>
      </c>
      <c r="F186" s="115" t="s">
        <v>2017</v>
      </c>
      <c r="G186" s="585">
        <v>1903027</v>
      </c>
      <c r="H186" s="586" t="s">
        <v>2165</v>
      </c>
      <c r="I186" s="585" t="s">
        <v>2166</v>
      </c>
      <c r="J186" s="456" t="s">
        <v>2167</v>
      </c>
      <c r="K186" s="627">
        <v>3</v>
      </c>
      <c r="L186" s="115"/>
      <c r="M186" s="115">
        <f t="shared" si="5"/>
        <v>3</v>
      </c>
      <c r="N186" s="587" t="s">
        <v>2154</v>
      </c>
      <c r="O186" s="456" t="s">
        <v>2155</v>
      </c>
      <c r="P186" s="456" t="s">
        <v>2168</v>
      </c>
      <c r="Q186" s="626">
        <v>70000000</v>
      </c>
      <c r="R186" s="589">
        <f>14800000</f>
        <v>14800000</v>
      </c>
      <c r="S186" s="589"/>
      <c r="T186" s="589"/>
      <c r="U186" s="589">
        <f>+Q186-R186+S186-T186</f>
        <v>55200000</v>
      </c>
      <c r="V186" s="590" t="s">
        <v>2169</v>
      </c>
      <c r="W186" s="23">
        <v>61</v>
      </c>
      <c r="X186" s="115" t="s">
        <v>1668</v>
      </c>
      <c r="Y186" s="640">
        <v>293304</v>
      </c>
      <c r="Z186" s="640">
        <v>272744</v>
      </c>
      <c r="AA186" s="640">
        <v>99059</v>
      </c>
      <c r="AB186" s="640">
        <v>36139</v>
      </c>
      <c r="AC186" s="640">
        <v>314186</v>
      </c>
      <c r="AD186" s="640">
        <v>116664</v>
      </c>
      <c r="AE186" s="640">
        <v>3247</v>
      </c>
      <c r="AF186" s="640">
        <v>6804</v>
      </c>
      <c r="AG186" s="640">
        <v>25</v>
      </c>
      <c r="AH186" s="640">
        <v>7</v>
      </c>
      <c r="AI186" s="640">
        <v>0</v>
      </c>
      <c r="AJ186" s="640">
        <v>0</v>
      </c>
      <c r="AK186" s="640">
        <v>50946</v>
      </c>
      <c r="AL186" s="640">
        <v>28554</v>
      </c>
      <c r="AM186" s="640">
        <v>53914</v>
      </c>
      <c r="AN186" s="641">
        <f t="shared" si="6"/>
        <v>566048</v>
      </c>
      <c r="AO186" s="587" t="s">
        <v>1669</v>
      </c>
      <c r="AP186" s="587" t="s">
        <v>1670</v>
      </c>
      <c r="AQ186" s="115" t="s">
        <v>1671</v>
      </c>
    </row>
    <row r="187" spans="1:43" ht="106.5" hidden="1">
      <c r="A187" s="115">
        <v>1</v>
      </c>
      <c r="B187" s="597" t="s">
        <v>513</v>
      </c>
      <c r="C187" s="584">
        <v>19</v>
      </c>
      <c r="D187" s="115" t="s">
        <v>1559</v>
      </c>
      <c r="E187" s="23">
        <v>1903</v>
      </c>
      <c r="F187" s="115" t="s">
        <v>2017</v>
      </c>
      <c r="G187" s="585">
        <v>1903040</v>
      </c>
      <c r="H187" s="586" t="s">
        <v>2170</v>
      </c>
      <c r="I187" s="585">
        <v>190304001</v>
      </c>
      <c r="J187" s="456" t="s">
        <v>2171</v>
      </c>
      <c r="K187" s="627">
        <v>12</v>
      </c>
      <c r="L187" s="115"/>
      <c r="M187" s="115">
        <f t="shared" si="5"/>
        <v>12</v>
      </c>
      <c r="N187" s="587" t="s">
        <v>2154</v>
      </c>
      <c r="O187" s="456" t="s">
        <v>2155</v>
      </c>
      <c r="P187" s="456" t="s">
        <v>2172</v>
      </c>
      <c r="Q187" s="626">
        <v>30000000</v>
      </c>
      <c r="R187" s="589"/>
      <c r="S187" s="589"/>
      <c r="T187" s="589"/>
      <c r="U187" s="589">
        <f>+Q187-R187+S187-T187</f>
        <v>30000000</v>
      </c>
      <c r="V187" s="590" t="s">
        <v>2173</v>
      </c>
      <c r="W187" s="23">
        <v>61</v>
      </c>
      <c r="X187" s="115" t="s">
        <v>1668</v>
      </c>
      <c r="Y187" s="640">
        <v>293304</v>
      </c>
      <c r="Z187" s="640">
        <v>272744</v>
      </c>
      <c r="AA187" s="640">
        <v>99059</v>
      </c>
      <c r="AB187" s="640">
        <v>36139</v>
      </c>
      <c r="AC187" s="640">
        <v>314186</v>
      </c>
      <c r="AD187" s="640">
        <v>116664</v>
      </c>
      <c r="AE187" s="640">
        <v>3247</v>
      </c>
      <c r="AF187" s="640">
        <v>6804</v>
      </c>
      <c r="AG187" s="640">
        <v>25</v>
      </c>
      <c r="AH187" s="640">
        <v>7</v>
      </c>
      <c r="AI187" s="640">
        <v>0</v>
      </c>
      <c r="AJ187" s="640">
        <v>0</v>
      </c>
      <c r="AK187" s="640">
        <v>50946</v>
      </c>
      <c r="AL187" s="640">
        <v>28554</v>
      </c>
      <c r="AM187" s="640">
        <v>53914</v>
      </c>
      <c r="AN187" s="641">
        <f t="shared" si="6"/>
        <v>566048</v>
      </c>
      <c r="AO187" s="587" t="s">
        <v>1669</v>
      </c>
      <c r="AP187" s="587" t="s">
        <v>1670</v>
      </c>
      <c r="AQ187" s="115" t="s">
        <v>1671</v>
      </c>
    </row>
    <row r="188" spans="1:43" ht="76.5" hidden="1">
      <c r="A188" s="115">
        <v>1</v>
      </c>
      <c r="B188" s="597" t="s">
        <v>513</v>
      </c>
      <c r="C188" s="584">
        <v>19</v>
      </c>
      <c r="D188" s="115" t="s">
        <v>1559</v>
      </c>
      <c r="E188" s="23">
        <v>1903</v>
      </c>
      <c r="F188" s="115" t="s">
        <v>2017</v>
      </c>
      <c r="G188" s="585">
        <v>1903042</v>
      </c>
      <c r="H188" s="586" t="s">
        <v>2174</v>
      </c>
      <c r="I188" s="585">
        <v>190304201</v>
      </c>
      <c r="J188" s="456" t="s">
        <v>2175</v>
      </c>
      <c r="K188" s="627">
        <v>530</v>
      </c>
      <c r="L188" s="115"/>
      <c r="M188" s="115">
        <f t="shared" si="5"/>
        <v>530</v>
      </c>
      <c r="N188" s="587" t="s">
        <v>2154</v>
      </c>
      <c r="O188" s="456" t="s">
        <v>2155</v>
      </c>
      <c r="P188" s="456" t="s">
        <v>2176</v>
      </c>
      <c r="Q188" s="626">
        <v>301448028.02999997</v>
      </c>
      <c r="R188" s="589">
        <f>10800000+14800000+9200000</f>
        <v>34800000</v>
      </c>
      <c r="S188" s="589"/>
      <c r="T188" s="589"/>
      <c r="U188" s="589">
        <f>+Q188-R188+S188-T188</f>
        <v>266648028.02999997</v>
      </c>
      <c r="V188" s="590" t="s">
        <v>2177</v>
      </c>
      <c r="W188" s="23">
        <v>63</v>
      </c>
      <c r="X188" s="115" t="s">
        <v>2178</v>
      </c>
      <c r="Y188" s="640">
        <v>293304</v>
      </c>
      <c r="Z188" s="640">
        <v>272744</v>
      </c>
      <c r="AA188" s="640">
        <v>99059</v>
      </c>
      <c r="AB188" s="640">
        <v>36139</v>
      </c>
      <c r="AC188" s="640">
        <v>314186</v>
      </c>
      <c r="AD188" s="640">
        <v>116664</v>
      </c>
      <c r="AE188" s="640">
        <v>3247</v>
      </c>
      <c r="AF188" s="640">
        <v>6804</v>
      </c>
      <c r="AG188" s="640">
        <v>25</v>
      </c>
      <c r="AH188" s="640">
        <v>7</v>
      </c>
      <c r="AI188" s="640">
        <v>0</v>
      </c>
      <c r="AJ188" s="640">
        <v>0</v>
      </c>
      <c r="AK188" s="640">
        <v>50946</v>
      </c>
      <c r="AL188" s="640">
        <v>28554</v>
      </c>
      <c r="AM188" s="640">
        <v>53914</v>
      </c>
      <c r="AN188" s="641">
        <f t="shared" si="6"/>
        <v>566048</v>
      </c>
      <c r="AO188" s="587" t="s">
        <v>1669</v>
      </c>
      <c r="AP188" s="587" t="s">
        <v>1670</v>
      </c>
      <c r="AQ188" s="115" t="s">
        <v>1671</v>
      </c>
    </row>
    <row r="189" spans="1:43" ht="99" hidden="1" customHeight="1">
      <c r="A189" s="115">
        <v>1</v>
      </c>
      <c r="B189" s="597" t="s">
        <v>513</v>
      </c>
      <c r="C189" s="584">
        <v>19</v>
      </c>
      <c r="D189" s="115" t="s">
        <v>1559</v>
      </c>
      <c r="E189" s="23">
        <v>1903</v>
      </c>
      <c r="F189" s="115" t="s">
        <v>2017</v>
      </c>
      <c r="G189" s="585">
        <v>1903045</v>
      </c>
      <c r="H189" s="586" t="s">
        <v>2179</v>
      </c>
      <c r="I189" s="585">
        <v>190304500</v>
      </c>
      <c r="J189" s="456" t="s">
        <v>2180</v>
      </c>
      <c r="K189" s="608">
        <v>2</v>
      </c>
      <c r="L189" s="115"/>
      <c r="M189" s="115">
        <f t="shared" si="5"/>
        <v>2</v>
      </c>
      <c r="N189" s="587" t="s">
        <v>2154</v>
      </c>
      <c r="O189" s="456" t="s">
        <v>2155</v>
      </c>
      <c r="P189" s="456" t="s">
        <v>2181</v>
      </c>
      <c r="Q189" s="626">
        <v>30000000</v>
      </c>
      <c r="R189" s="589">
        <f>20000000</f>
        <v>20000000</v>
      </c>
      <c r="S189" s="589"/>
      <c r="T189" s="589"/>
      <c r="U189" s="589">
        <f>+Q189-R189+S189-T189</f>
        <v>10000000</v>
      </c>
      <c r="V189" s="590" t="s">
        <v>2182</v>
      </c>
      <c r="W189" s="23">
        <v>20</v>
      </c>
      <c r="X189" s="115" t="s">
        <v>67</v>
      </c>
      <c r="Y189" s="640">
        <v>293304</v>
      </c>
      <c r="Z189" s="640">
        <v>272744</v>
      </c>
      <c r="AA189" s="640">
        <v>99059</v>
      </c>
      <c r="AB189" s="640">
        <v>36139</v>
      </c>
      <c r="AC189" s="640">
        <v>314186</v>
      </c>
      <c r="AD189" s="640">
        <v>116664</v>
      </c>
      <c r="AE189" s="640">
        <v>3247</v>
      </c>
      <c r="AF189" s="640">
        <v>6804</v>
      </c>
      <c r="AG189" s="640">
        <v>25</v>
      </c>
      <c r="AH189" s="640">
        <v>7</v>
      </c>
      <c r="AI189" s="640">
        <v>0</v>
      </c>
      <c r="AJ189" s="640">
        <v>0</v>
      </c>
      <c r="AK189" s="640">
        <v>50946</v>
      </c>
      <c r="AL189" s="640">
        <v>28554</v>
      </c>
      <c r="AM189" s="640">
        <v>53914</v>
      </c>
      <c r="AN189" s="641">
        <f t="shared" si="6"/>
        <v>566048</v>
      </c>
      <c r="AO189" s="587" t="s">
        <v>1669</v>
      </c>
      <c r="AP189" s="587" t="s">
        <v>1670</v>
      </c>
      <c r="AQ189" s="115" t="s">
        <v>1671</v>
      </c>
    </row>
    <row r="190" spans="1:43" ht="60.75" hidden="1">
      <c r="A190" s="115">
        <v>1</v>
      </c>
      <c r="B190" s="597" t="s">
        <v>513</v>
      </c>
      <c r="C190" s="584">
        <v>19</v>
      </c>
      <c r="D190" s="115" t="s">
        <v>1559</v>
      </c>
      <c r="E190" s="23">
        <v>1903</v>
      </c>
      <c r="F190" s="115" t="s">
        <v>2017</v>
      </c>
      <c r="G190" s="585">
        <v>1903045</v>
      </c>
      <c r="H190" s="586" t="s">
        <v>2179</v>
      </c>
      <c r="I190" s="585">
        <v>190304500</v>
      </c>
      <c r="J190" s="456" t="s">
        <v>2180</v>
      </c>
      <c r="K190" s="608">
        <v>2</v>
      </c>
      <c r="L190" s="115"/>
      <c r="M190" s="115">
        <f t="shared" si="5"/>
        <v>2</v>
      </c>
      <c r="N190" s="587" t="s">
        <v>2154</v>
      </c>
      <c r="O190" s="456" t="s">
        <v>2155</v>
      </c>
      <c r="P190" s="456" t="s">
        <v>2183</v>
      </c>
      <c r="Q190" s="626">
        <v>40000000</v>
      </c>
      <c r="R190" s="589"/>
      <c r="S190" s="589"/>
      <c r="T190" s="589"/>
      <c r="U190" s="589">
        <f>+Q190-R190+S190-T190</f>
        <v>40000000</v>
      </c>
      <c r="V190" s="590" t="s">
        <v>2182</v>
      </c>
      <c r="W190" s="23">
        <v>20</v>
      </c>
      <c r="X190" s="115" t="s">
        <v>67</v>
      </c>
      <c r="Y190" s="640">
        <v>293304</v>
      </c>
      <c r="Z190" s="640">
        <v>272744</v>
      </c>
      <c r="AA190" s="640">
        <v>99059</v>
      </c>
      <c r="AB190" s="640">
        <v>36139</v>
      </c>
      <c r="AC190" s="640">
        <v>314186</v>
      </c>
      <c r="AD190" s="640">
        <v>116664</v>
      </c>
      <c r="AE190" s="640">
        <v>3247</v>
      </c>
      <c r="AF190" s="640">
        <v>6804</v>
      </c>
      <c r="AG190" s="640">
        <v>25</v>
      </c>
      <c r="AH190" s="640">
        <v>7</v>
      </c>
      <c r="AI190" s="640">
        <v>0</v>
      </c>
      <c r="AJ190" s="640">
        <v>0</v>
      </c>
      <c r="AK190" s="640">
        <v>50946</v>
      </c>
      <c r="AL190" s="640">
        <v>28554</v>
      </c>
      <c r="AM190" s="640">
        <v>53914</v>
      </c>
      <c r="AN190" s="641">
        <f t="shared" si="6"/>
        <v>566048</v>
      </c>
      <c r="AO190" s="587" t="s">
        <v>1669</v>
      </c>
      <c r="AP190" s="587" t="s">
        <v>1670</v>
      </c>
      <c r="AQ190" s="115" t="s">
        <v>1671</v>
      </c>
    </row>
    <row r="191" spans="1:43" ht="91.5" hidden="1">
      <c r="A191" s="115">
        <v>1</v>
      </c>
      <c r="B191" s="597" t="s">
        <v>513</v>
      </c>
      <c r="C191" s="584">
        <v>19</v>
      </c>
      <c r="D191" s="115" t="s">
        <v>1559</v>
      </c>
      <c r="E191" s="23">
        <v>1903</v>
      </c>
      <c r="F191" s="115" t="s">
        <v>2017</v>
      </c>
      <c r="G191" s="585">
        <v>1903045</v>
      </c>
      <c r="H191" s="586" t="s">
        <v>2179</v>
      </c>
      <c r="I191" s="585">
        <v>190304500</v>
      </c>
      <c r="J191" s="456" t="s">
        <v>2180</v>
      </c>
      <c r="K191" s="627">
        <v>2</v>
      </c>
      <c r="L191" s="115"/>
      <c r="M191" s="115">
        <f t="shared" si="5"/>
        <v>2</v>
      </c>
      <c r="N191" s="587" t="s">
        <v>2154</v>
      </c>
      <c r="O191" s="456" t="s">
        <v>2155</v>
      </c>
      <c r="P191" s="456" t="s">
        <v>2184</v>
      </c>
      <c r="Q191" s="626">
        <v>90000000</v>
      </c>
      <c r="R191" s="589">
        <v>12000000</v>
      </c>
      <c r="S191" s="589"/>
      <c r="T191" s="589"/>
      <c r="U191" s="589">
        <f>+Q191-R191+S191-T191</f>
        <v>78000000</v>
      </c>
      <c r="V191" s="590" t="s">
        <v>2185</v>
      </c>
      <c r="W191" s="23">
        <v>61</v>
      </c>
      <c r="X191" s="115" t="s">
        <v>1668</v>
      </c>
      <c r="Y191" s="640">
        <v>293304</v>
      </c>
      <c r="Z191" s="640">
        <v>272744</v>
      </c>
      <c r="AA191" s="640">
        <v>99059</v>
      </c>
      <c r="AB191" s="640">
        <v>36139</v>
      </c>
      <c r="AC191" s="640">
        <v>314186</v>
      </c>
      <c r="AD191" s="640">
        <v>116664</v>
      </c>
      <c r="AE191" s="640">
        <v>3247</v>
      </c>
      <c r="AF191" s="640">
        <v>6804</v>
      </c>
      <c r="AG191" s="640">
        <v>25</v>
      </c>
      <c r="AH191" s="640">
        <v>7</v>
      </c>
      <c r="AI191" s="640">
        <v>0</v>
      </c>
      <c r="AJ191" s="640">
        <v>0</v>
      </c>
      <c r="AK191" s="640">
        <v>50946</v>
      </c>
      <c r="AL191" s="640">
        <v>28554</v>
      </c>
      <c r="AM191" s="640">
        <v>53914</v>
      </c>
      <c r="AN191" s="641">
        <f t="shared" si="6"/>
        <v>566048</v>
      </c>
      <c r="AO191" s="587" t="s">
        <v>1669</v>
      </c>
      <c r="AP191" s="587" t="s">
        <v>1670</v>
      </c>
      <c r="AQ191" s="115" t="s">
        <v>1671</v>
      </c>
    </row>
    <row r="192" spans="1:43" ht="135" hidden="1" customHeight="1">
      <c r="A192" s="115">
        <v>1</v>
      </c>
      <c r="B192" s="597" t="s">
        <v>513</v>
      </c>
      <c r="C192" s="584">
        <v>19</v>
      </c>
      <c r="D192" s="115" t="s">
        <v>1559</v>
      </c>
      <c r="E192" s="23">
        <v>1905</v>
      </c>
      <c r="F192" s="115" t="s">
        <v>1659</v>
      </c>
      <c r="G192" s="585">
        <v>1905024</v>
      </c>
      <c r="H192" s="586" t="s">
        <v>2186</v>
      </c>
      <c r="I192" s="585" t="s">
        <v>2187</v>
      </c>
      <c r="J192" s="456" t="s">
        <v>2188</v>
      </c>
      <c r="K192" s="460">
        <v>11</v>
      </c>
      <c r="L192" s="115"/>
      <c r="M192" s="115">
        <f t="shared" si="5"/>
        <v>11</v>
      </c>
      <c r="N192" s="587" t="s">
        <v>2189</v>
      </c>
      <c r="O192" s="456" t="s">
        <v>2190</v>
      </c>
      <c r="P192" s="456" t="s">
        <v>2191</v>
      </c>
      <c r="Q192" s="598">
        <v>34000000</v>
      </c>
      <c r="R192" s="589">
        <f>766667+1973333+900000</f>
        <v>3640000</v>
      </c>
      <c r="S192" s="589"/>
      <c r="T192" s="589"/>
      <c r="U192" s="589">
        <f>+Q192-R192+S192-T192</f>
        <v>30360000</v>
      </c>
      <c r="V192" s="590" t="s">
        <v>2192</v>
      </c>
      <c r="W192" s="23">
        <v>61</v>
      </c>
      <c r="X192" s="115" t="s">
        <v>1668</v>
      </c>
      <c r="Y192" s="591">
        <v>293304</v>
      </c>
      <c r="Z192" s="591">
        <v>272744</v>
      </c>
      <c r="AA192" s="591">
        <v>99059</v>
      </c>
      <c r="AB192" s="591">
        <v>36139</v>
      </c>
      <c r="AC192" s="591">
        <v>314186</v>
      </c>
      <c r="AD192" s="591">
        <v>116664</v>
      </c>
      <c r="AE192" s="591">
        <v>3247</v>
      </c>
      <c r="AF192" s="591">
        <v>6804</v>
      </c>
      <c r="AG192" s="591">
        <v>25</v>
      </c>
      <c r="AH192" s="591">
        <v>7</v>
      </c>
      <c r="AI192" s="591">
        <v>0</v>
      </c>
      <c r="AJ192" s="591">
        <v>0</v>
      </c>
      <c r="AK192" s="591">
        <v>50946</v>
      </c>
      <c r="AL192" s="591">
        <v>28554</v>
      </c>
      <c r="AM192" s="591">
        <v>53914</v>
      </c>
      <c r="AN192" s="592">
        <f>Y192+Z192</f>
        <v>566048</v>
      </c>
      <c r="AO192" s="587" t="s">
        <v>1669</v>
      </c>
      <c r="AP192" s="587" t="s">
        <v>1670</v>
      </c>
      <c r="AQ192" s="115" t="s">
        <v>1671</v>
      </c>
    </row>
    <row r="193" spans="1:43" ht="91.5" hidden="1">
      <c r="A193" s="115">
        <v>1</v>
      </c>
      <c r="B193" s="597" t="s">
        <v>513</v>
      </c>
      <c r="C193" s="584">
        <v>19</v>
      </c>
      <c r="D193" s="115" t="s">
        <v>1559</v>
      </c>
      <c r="E193" s="23">
        <v>1905</v>
      </c>
      <c r="F193" s="115" t="s">
        <v>1977</v>
      </c>
      <c r="G193" s="585">
        <v>1905024</v>
      </c>
      <c r="H193" s="586" t="s">
        <v>2186</v>
      </c>
      <c r="I193" s="585">
        <v>190502402</v>
      </c>
      <c r="J193" s="456" t="s">
        <v>2188</v>
      </c>
      <c r="K193" s="460">
        <v>11</v>
      </c>
      <c r="L193" s="115"/>
      <c r="M193" s="115">
        <f t="shared" si="5"/>
        <v>11</v>
      </c>
      <c r="N193" s="587" t="s">
        <v>2189</v>
      </c>
      <c r="O193" s="456" t="s">
        <v>2190</v>
      </c>
      <c r="P193" s="456" t="s">
        <v>2193</v>
      </c>
      <c r="Q193" s="598">
        <v>20000000</v>
      </c>
      <c r="R193" s="589"/>
      <c r="S193" s="589"/>
      <c r="T193" s="589"/>
      <c r="U193" s="589">
        <f>+Q193-R193+S193-T193</f>
        <v>20000000</v>
      </c>
      <c r="V193" s="590" t="s">
        <v>2194</v>
      </c>
      <c r="W193" s="23">
        <v>20</v>
      </c>
      <c r="X193" s="115" t="s">
        <v>67</v>
      </c>
      <c r="Y193" s="591">
        <v>293304</v>
      </c>
      <c r="Z193" s="591">
        <v>272744</v>
      </c>
      <c r="AA193" s="591">
        <v>99059</v>
      </c>
      <c r="AB193" s="591">
        <v>36139</v>
      </c>
      <c r="AC193" s="591">
        <v>314186</v>
      </c>
      <c r="AD193" s="591">
        <v>116664</v>
      </c>
      <c r="AE193" s="591">
        <v>3247</v>
      </c>
      <c r="AF193" s="591">
        <v>6804</v>
      </c>
      <c r="AG193" s="591">
        <v>25</v>
      </c>
      <c r="AH193" s="591">
        <v>7</v>
      </c>
      <c r="AI193" s="591">
        <v>0</v>
      </c>
      <c r="AJ193" s="591">
        <v>0</v>
      </c>
      <c r="AK193" s="591">
        <v>50946</v>
      </c>
      <c r="AL193" s="591">
        <v>28554</v>
      </c>
      <c r="AM193" s="591">
        <v>53914</v>
      </c>
      <c r="AN193" s="592">
        <f t="shared" ref="AN193:AN216" si="7">Y193+Z193</f>
        <v>566048</v>
      </c>
      <c r="AO193" s="587" t="s">
        <v>1669</v>
      </c>
      <c r="AP193" s="587" t="s">
        <v>1670</v>
      </c>
      <c r="AQ193" s="115" t="s">
        <v>1671</v>
      </c>
    </row>
    <row r="194" spans="1:43" ht="75" hidden="1" customHeight="1">
      <c r="A194" s="115">
        <v>1</v>
      </c>
      <c r="B194" s="597" t="s">
        <v>513</v>
      </c>
      <c r="C194" s="584">
        <v>19</v>
      </c>
      <c r="D194" s="115" t="s">
        <v>1559</v>
      </c>
      <c r="E194" s="23">
        <v>1905</v>
      </c>
      <c r="F194" s="115" t="s">
        <v>1659</v>
      </c>
      <c r="G194" s="635">
        <v>1905026</v>
      </c>
      <c r="H194" s="642" t="s">
        <v>2088</v>
      </c>
      <c r="I194" s="585">
        <v>190502600</v>
      </c>
      <c r="J194" s="456" t="s">
        <v>2195</v>
      </c>
      <c r="K194" s="644">
        <v>11</v>
      </c>
      <c r="L194" s="115"/>
      <c r="M194" s="115">
        <f t="shared" si="5"/>
        <v>11</v>
      </c>
      <c r="N194" s="587" t="s">
        <v>2189</v>
      </c>
      <c r="O194" s="456" t="s">
        <v>2190</v>
      </c>
      <c r="P194" s="456" t="s">
        <v>2196</v>
      </c>
      <c r="Q194" s="598">
        <v>54000000</v>
      </c>
      <c r="R194" s="589">
        <f>14800000+14800000</f>
        <v>29600000</v>
      </c>
      <c r="S194" s="589"/>
      <c r="T194" s="589"/>
      <c r="U194" s="589">
        <f>+Q194-R194+S194-T194</f>
        <v>24400000</v>
      </c>
      <c r="V194" s="590" t="s">
        <v>2197</v>
      </c>
      <c r="W194" s="23">
        <v>61</v>
      </c>
      <c r="X194" s="115" t="s">
        <v>1668</v>
      </c>
      <c r="Y194" s="591">
        <v>293304</v>
      </c>
      <c r="Z194" s="591">
        <v>272744</v>
      </c>
      <c r="AA194" s="591">
        <v>99059</v>
      </c>
      <c r="AB194" s="591">
        <v>36139</v>
      </c>
      <c r="AC194" s="591">
        <v>314186</v>
      </c>
      <c r="AD194" s="591">
        <v>116664</v>
      </c>
      <c r="AE194" s="591">
        <v>3247</v>
      </c>
      <c r="AF194" s="591">
        <v>6804</v>
      </c>
      <c r="AG194" s="591">
        <v>25</v>
      </c>
      <c r="AH194" s="591">
        <v>7</v>
      </c>
      <c r="AI194" s="591">
        <v>0</v>
      </c>
      <c r="AJ194" s="591">
        <v>0</v>
      </c>
      <c r="AK194" s="591">
        <v>50946</v>
      </c>
      <c r="AL194" s="591">
        <v>28554</v>
      </c>
      <c r="AM194" s="591">
        <v>53914</v>
      </c>
      <c r="AN194" s="592">
        <f t="shared" si="7"/>
        <v>566048</v>
      </c>
      <c r="AO194" s="587" t="s">
        <v>1669</v>
      </c>
      <c r="AP194" s="587" t="s">
        <v>1670</v>
      </c>
      <c r="AQ194" s="115" t="s">
        <v>1671</v>
      </c>
    </row>
    <row r="195" spans="1:43" ht="76.5" hidden="1">
      <c r="A195" s="115">
        <v>1</v>
      </c>
      <c r="B195" s="597" t="s">
        <v>513</v>
      </c>
      <c r="C195" s="584">
        <v>19</v>
      </c>
      <c r="D195" s="115" t="s">
        <v>1559</v>
      </c>
      <c r="E195" s="23">
        <v>1905</v>
      </c>
      <c r="F195" s="115" t="s">
        <v>1659</v>
      </c>
      <c r="G195" s="635">
        <v>1905026</v>
      </c>
      <c r="H195" s="642" t="s">
        <v>2088</v>
      </c>
      <c r="I195" s="585">
        <v>190502600</v>
      </c>
      <c r="J195" s="456" t="s">
        <v>2195</v>
      </c>
      <c r="K195" s="644">
        <v>11</v>
      </c>
      <c r="L195" s="115"/>
      <c r="M195" s="115">
        <f t="shared" si="5"/>
        <v>11</v>
      </c>
      <c r="N195" s="587" t="s">
        <v>2189</v>
      </c>
      <c r="O195" s="456" t="s">
        <v>2190</v>
      </c>
      <c r="P195" s="456" t="s">
        <v>2198</v>
      </c>
      <c r="Q195" s="598">
        <v>150000000</v>
      </c>
      <c r="R195" s="589">
        <f>14800000+16000000</f>
        <v>30800000</v>
      </c>
      <c r="S195" s="589"/>
      <c r="T195" s="589"/>
      <c r="U195" s="589">
        <f>+Q195-R195+S195-T195</f>
        <v>119200000</v>
      </c>
      <c r="V195" s="590" t="s">
        <v>2199</v>
      </c>
      <c r="W195" s="23">
        <v>20</v>
      </c>
      <c r="X195" s="115" t="s">
        <v>67</v>
      </c>
      <c r="Y195" s="591">
        <v>293304</v>
      </c>
      <c r="Z195" s="591">
        <v>272744</v>
      </c>
      <c r="AA195" s="591">
        <v>99059</v>
      </c>
      <c r="AB195" s="591">
        <v>36139</v>
      </c>
      <c r="AC195" s="591">
        <v>314186</v>
      </c>
      <c r="AD195" s="591">
        <v>116664</v>
      </c>
      <c r="AE195" s="591">
        <v>3247</v>
      </c>
      <c r="AF195" s="591">
        <v>6804</v>
      </c>
      <c r="AG195" s="591">
        <v>25</v>
      </c>
      <c r="AH195" s="591">
        <v>7</v>
      </c>
      <c r="AI195" s="591">
        <v>0</v>
      </c>
      <c r="AJ195" s="591">
        <v>0</v>
      </c>
      <c r="AK195" s="591">
        <v>50946</v>
      </c>
      <c r="AL195" s="591">
        <v>28554</v>
      </c>
      <c r="AM195" s="591">
        <v>53914</v>
      </c>
      <c r="AN195" s="592">
        <f t="shared" si="7"/>
        <v>566048</v>
      </c>
      <c r="AO195" s="587" t="s">
        <v>1669</v>
      </c>
      <c r="AP195" s="587" t="s">
        <v>1670</v>
      </c>
      <c r="AQ195" s="115" t="s">
        <v>1671</v>
      </c>
    </row>
    <row r="196" spans="1:43" ht="76.5" hidden="1">
      <c r="A196" s="115">
        <v>1</v>
      </c>
      <c r="B196" s="597" t="s">
        <v>513</v>
      </c>
      <c r="C196" s="584">
        <v>19</v>
      </c>
      <c r="D196" s="115" t="s">
        <v>1559</v>
      </c>
      <c r="E196" s="23">
        <v>1905</v>
      </c>
      <c r="F196" s="115" t="s">
        <v>1659</v>
      </c>
      <c r="G196" s="635">
        <v>1905026</v>
      </c>
      <c r="H196" s="642" t="s">
        <v>2088</v>
      </c>
      <c r="I196" s="585">
        <v>190502600</v>
      </c>
      <c r="J196" s="456" t="s">
        <v>2195</v>
      </c>
      <c r="K196" s="644">
        <v>11</v>
      </c>
      <c r="L196" s="115"/>
      <c r="M196" s="115">
        <f t="shared" si="5"/>
        <v>11</v>
      </c>
      <c r="N196" s="587" t="s">
        <v>2189</v>
      </c>
      <c r="O196" s="456" t="s">
        <v>2190</v>
      </c>
      <c r="P196" s="456" t="s">
        <v>2200</v>
      </c>
      <c r="Q196" s="598">
        <v>367132500</v>
      </c>
      <c r="R196" s="589"/>
      <c r="S196" s="589"/>
      <c r="T196" s="589"/>
      <c r="U196" s="589">
        <f>+Q196-R196+S196-T196</f>
        <v>367132500</v>
      </c>
      <c r="V196" s="590" t="s">
        <v>2201</v>
      </c>
      <c r="W196" s="23">
        <v>111</v>
      </c>
      <c r="X196" s="115" t="s">
        <v>2202</v>
      </c>
      <c r="Y196" s="591">
        <v>293304</v>
      </c>
      <c r="Z196" s="591">
        <v>272744</v>
      </c>
      <c r="AA196" s="591">
        <v>99059</v>
      </c>
      <c r="AB196" s="591">
        <v>36139</v>
      </c>
      <c r="AC196" s="591">
        <v>314186</v>
      </c>
      <c r="AD196" s="591">
        <v>116664</v>
      </c>
      <c r="AE196" s="591">
        <v>3247</v>
      </c>
      <c r="AF196" s="591">
        <v>6804</v>
      </c>
      <c r="AG196" s="591">
        <v>25</v>
      </c>
      <c r="AH196" s="591">
        <v>7</v>
      </c>
      <c r="AI196" s="591">
        <v>0</v>
      </c>
      <c r="AJ196" s="591">
        <v>0</v>
      </c>
      <c r="AK196" s="591">
        <v>50946</v>
      </c>
      <c r="AL196" s="591">
        <v>28554</v>
      </c>
      <c r="AM196" s="591">
        <v>53914</v>
      </c>
      <c r="AN196" s="592">
        <f t="shared" si="7"/>
        <v>566048</v>
      </c>
      <c r="AO196" s="587" t="s">
        <v>1669</v>
      </c>
      <c r="AP196" s="587" t="s">
        <v>1670</v>
      </c>
      <c r="AQ196" s="115" t="s">
        <v>1671</v>
      </c>
    </row>
    <row r="197" spans="1:43" ht="60.75" hidden="1">
      <c r="A197" s="115">
        <v>1</v>
      </c>
      <c r="B197" s="597" t="s">
        <v>513</v>
      </c>
      <c r="C197" s="584">
        <v>19</v>
      </c>
      <c r="D197" s="115" t="s">
        <v>1559</v>
      </c>
      <c r="E197" s="23">
        <v>1905</v>
      </c>
      <c r="F197" s="115" t="s">
        <v>1659</v>
      </c>
      <c r="G197" s="635">
        <v>1905043</v>
      </c>
      <c r="H197" s="586" t="s">
        <v>2203</v>
      </c>
      <c r="I197" s="585">
        <v>190504300</v>
      </c>
      <c r="J197" s="456" t="s">
        <v>2204</v>
      </c>
      <c r="K197" s="265">
        <v>12</v>
      </c>
      <c r="L197" s="115"/>
      <c r="M197" s="115">
        <f t="shared" si="5"/>
        <v>12</v>
      </c>
      <c r="N197" s="587" t="s">
        <v>2189</v>
      </c>
      <c r="O197" s="456" t="s">
        <v>2190</v>
      </c>
      <c r="P197" s="456" t="s">
        <v>2205</v>
      </c>
      <c r="Q197" s="598">
        <v>45000000</v>
      </c>
      <c r="R197" s="589">
        <f>8100000+6900000+8100000+6900000</f>
        <v>30000000</v>
      </c>
      <c r="S197" s="589"/>
      <c r="T197" s="589"/>
      <c r="U197" s="589">
        <f>+Q197-R197+S197-T197</f>
        <v>15000000</v>
      </c>
      <c r="V197" s="590" t="s">
        <v>2206</v>
      </c>
      <c r="W197" s="23">
        <v>61</v>
      </c>
      <c r="X197" s="115" t="s">
        <v>1668</v>
      </c>
      <c r="Y197" s="591">
        <v>293304</v>
      </c>
      <c r="Z197" s="591">
        <v>272744</v>
      </c>
      <c r="AA197" s="591">
        <v>99059</v>
      </c>
      <c r="AB197" s="591">
        <v>36139</v>
      </c>
      <c r="AC197" s="591">
        <v>314186</v>
      </c>
      <c r="AD197" s="591">
        <v>116664</v>
      </c>
      <c r="AE197" s="591">
        <v>3247</v>
      </c>
      <c r="AF197" s="591">
        <v>6804</v>
      </c>
      <c r="AG197" s="591">
        <v>25</v>
      </c>
      <c r="AH197" s="591">
        <v>7</v>
      </c>
      <c r="AI197" s="591">
        <v>0</v>
      </c>
      <c r="AJ197" s="591">
        <v>0</v>
      </c>
      <c r="AK197" s="591">
        <v>50946</v>
      </c>
      <c r="AL197" s="591">
        <v>28554</v>
      </c>
      <c r="AM197" s="591">
        <v>53914</v>
      </c>
      <c r="AN197" s="592">
        <f t="shared" si="7"/>
        <v>566048</v>
      </c>
      <c r="AO197" s="587" t="s">
        <v>1669</v>
      </c>
      <c r="AP197" s="587" t="s">
        <v>1670</v>
      </c>
      <c r="AQ197" s="115" t="s">
        <v>1671</v>
      </c>
    </row>
    <row r="198" spans="1:43" ht="76.5" hidden="1">
      <c r="A198" s="115">
        <v>1</v>
      </c>
      <c r="B198" s="597" t="s">
        <v>513</v>
      </c>
      <c r="C198" s="584">
        <v>19</v>
      </c>
      <c r="D198" s="115" t="s">
        <v>1559</v>
      </c>
      <c r="E198" s="23">
        <v>1905</v>
      </c>
      <c r="F198" s="115" t="s">
        <v>1659</v>
      </c>
      <c r="G198" s="635">
        <v>1905054</v>
      </c>
      <c r="H198" s="586" t="s">
        <v>1713</v>
      </c>
      <c r="I198" s="585">
        <v>190505406</v>
      </c>
      <c r="J198" s="456" t="s">
        <v>2207</v>
      </c>
      <c r="K198" s="265">
        <v>11</v>
      </c>
      <c r="L198" s="115"/>
      <c r="M198" s="115">
        <f t="shared" si="5"/>
        <v>11</v>
      </c>
      <c r="N198" s="587" t="s">
        <v>2189</v>
      </c>
      <c r="O198" s="456" t="s">
        <v>2190</v>
      </c>
      <c r="P198" s="456" t="s">
        <v>2208</v>
      </c>
      <c r="Q198" s="598">
        <v>42885383.939999998</v>
      </c>
      <c r="R198" s="589">
        <f>11100000+6900000+14800000+9200000</f>
        <v>42000000</v>
      </c>
      <c r="S198" s="589"/>
      <c r="T198" s="589"/>
      <c r="U198" s="589">
        <f>+Q198-R198+S198-T198</f>
        <v>885383.93999999762</v>
      </c>
      <c r="V198" s="590" t="s">
        <v>2209</v>
      </c>
      <c r="W198" s="23">
        <v>61</v>
      </c>
      <c r="X198" s="115" t="s">
        <v>1668</v>
      </c>
      <c r="Y198" s="591">
        <v>293304</v>
      </c>
      <c r="Z198" s="591">
        <v>272744</v>
      </c>
      <c r="AA198" s="591">
        <v>99059</v>
      </c>
      <c r="AB198" s="591">
        <v>36139</v>
      </c>
      <c r="AC198" s="591">
        <v>314186</v>
      </c>
      <c r="AD198" s="591">
        <v>116664</v>
      </c>
      <c r="AE198" s="591">
        <v>3247</v>
      </c>
      <c r="AF198" s="591">
        <v>6804</v>
      </c>
      <c r="AG198" s="591">
        <v>25</v>
      </c>
      <c r="AH198" s="591">
        <v>7</v>
      </c>
      <c r="AI198" s="591">
        <v>0</v>
      </c>
      <c r="AJ198" s="591">
        <v>0</v>
      </c>
      <c r="AK198" s="591">
        <v>50946</v>
      </c>
      <c r="AL198" s="591">
        <v>28554</v>
      </c>
      <c r="AM198" s="591">
        <v>53914</v>
      </c>
      <c r="AN198" s="592">
        <f t="shared" si="7"/>
        <v>566048</v>
      </c>
      <c r="AO198" s="587" t="s">
        <v>1669</v>
      </c>
      <c r="AP198" s="587" t="s">
        <v>1670</v>
      </c>
      <c r="AQ198" s="115" t="s">
        <v>1671</v>
      </c>
    </row>
    <row r="199" spans="1:43" ht="76.5" hidden="1">
      <c r="A199" s="115">
        <v>1</v>
      </c>
      <c r="B199" s="597" t="s">
        <v>513</v>
      </c>
      <c r="C199" s="584">
        <v>19</v>
      </c>
      <c r="D199" s="115" t="s">
        <v>1559</v>
      </c>
      <c r="E199" s="23">
        <v>1905</v>
      </c>
      <c r="F199" s="115" t="s">
        <v>1659</v>
      </c>
      <c r="G199" s="635">
        <v>1905054</v>
      </c>
      <c r="H199" s="586" t="s">
        <v>1713</v>
      </c>
      <c r="I199" s="585">
        <v>190505407</v>
      </c>
      <c r="J199" s="456" t="s">
        <v>2210</v>
      </c>
      <c r="K199" s="265">
        <v>11</v>
      </c>
      <c r="L199" s="115"/>
      <c r="M199" s="115">
        <f t="shared" si="5"/>
        <v>11</v>
      </c>
      <c r="N199" s="587" t="s">
        <v>2189</v>
      </c>
      <c r="O199" s="456" t="s">
        <v>2190</v>
      </c>
      <c r="P199" s="456" t="s">
        <v>2211</v>
      </c>
      <c r="Q199" s="598">
        <v>35000000</v>
      </c>
      <c r="R199" s="589"/>
      <c r="S199" s="589"/>
      <c r="T199" s="589"/>
      <c r="U199" s="589">
        <f>+Q199-R199+S199-T199</f>
        <v>35000000</v>
      </c>
      <c r="V199" s="590" t="s">
        <v>2209</v>
      </c>
      <c r="W199" s="23">
        <v>61</v>
      </c>
      <c r="X199" s="115" t="s">
        <v>1668</v>
      </c>
      <c r="Y199" s="591">
        <v>293304</v>
      </c>
      <c r="Z199" s="591">
        <v>272744</v>
      </c>
      <c r="AA199" s="591">
        <v>99059</v>
      </c>
      <c r="AB199" s="591">
        <v>36139</v>
      </c>
      <c r="AC199" s="591">
        <v>314186</v>
      </c>
      <c r="AD199" s="591">
        <v>116664</v>
      </c>
      <c r="AE199" s="591">
        <v>3247</v>
      </c>
      <c r="AF199" s="591">
        <v>6804</v>
      </c>
      <c r="AG199" s="591">
        <v>25</v>
      </c>
      <c r="AH199" s="591">
        <v>7</v>
      </c>
      <c r="AI199" s="591">
        <v>0</v>
      </c>
      <c r="AJ199" s="591">
        <v>0</v>
      </c>
      <c r="AK199" s="591">
        <v>50946</v>
      </c>
      <c r="AL199" s="591">
        <v>28554</v>
      </c>
      <c r="AM199" s="591">
        <v>53914</v>
      </c>
      <c r="AN199" s="592">
        <f t="shared" si="7"/>
        <v>566048</v>
      </c>
      <c r="AO199" s="587" t="s">
        <v>1669</v>
      </c>
      <c r="AP199" s="587" t="s">
        <v>1670</v>
      </c>
      <c r="AQ199" s="115" t="s">
        <v>1671</v>
      </c>
    </row>
    <row r="200" spans="1:43" ht="76.5" hidden="1">
      <c r="A200" s="115">
        <v>1</v>
      </c>
      <c r="B200" s="597" t="s">
        <v>513</v>
      </c>
      <c r="C200" s="584">
        <v>19</v>
      </c>
      <c r="D200" s="115" t="s">
        <v>1559</v>
      </c>
      <c r="E200" s="23">
        <v>1905</v>
      </c>
      <c r="F200" s="115" t="s">
        <v>1659</v>
      </c>
      <c r="G200" s="635">
        <v>1905054</v>
      </c>
      <c r="H200" s="586" t="s">
        <v>1713</v>
      </c>
      <c r="I200" s="585">
        <v>190505409</v>
      </c>
      <c r="J200" s="586" t="s">
        <v>2212</v>
      </c>
      <c r="K200" s="599">
        <v>12</v>
      </c>
      <c r="L200" s="115"/>
      <c r="M200" s="115">
        <f t="shared" si="5"/>
        <v>12</v>
      </c>
      <c r="N200" s="587" t="s">
        <v>2189</v>
      </c>
      <c r="O200" s="456" t="s">
        <v>2190</v>
      </c>
      <c r="P200" s="456" t="s">
        <v>2213</v>
      </c>
      <c r="Q200" s="598">
        <v>25000000</v>
      </c>
      <c r="R200" s="589">
        <v>11100000</v>
      </c>
      <c r="S200" s="589"/>
      <c r="T200" s="589"/>
      <c r="U200" s="589">
        <f>+Q200-R200+S200-T200</f>
        <v>13900000</v>
      </c>
      <c r="V200" s="590" t="s">
        <v>2209</v>
      </c>
      <c r="W200" s="23">
        <v>61</v>
      </c>
      <c r="X200" s="115" t="s">
        <v>1668</v>
      </c>
      <c r="Y200" s="591">
        <v>293304</v>
      </c>
      <c r="Z200" s="591">
        <v>272744</v>
      </c>
      <c r="AA200" s="591">
        <v>99059</v>
      </c>
      <c r="AB200" s="591">
        <v>36139</v>
      </c>
      <c r="AC200" s="591">
        <v>314186</v>
      </c>
      <c r="AD200" s="591">
        <v>116664</v>
      </c>
      <c r="AE200" s="591">
        <v>3247</v>
      </c>
      <c r="AF200" s="591">
        <v>6804</v>
      </c>
      <c r="AG200" s="591">
        <v>25</v>
      </c>
      <c r="AH200" s="591">
        <v>7</v>
      </c>
      <c r="AI200" s="591">
        <v>0</v>
      </c>
      <c r="AJ200" s="591">
        <v>0</v>
      </c>
      <c r="AK200" s="591">
        <v>50946</v>
      </c>
      <c r="AL200" s="591">
        <v>28554</v>
      </c>
      <c r="AM200" s="591">
        <v>53914</v>
      </c>
      <c r="AN200" s="592">
        <f t="shared" si="7"/>
        <v>566048</v>
      </c>
      <c r="AO200" s="587" t="s">
        <v>1669</v>
      </c>
      <c r="AP200" s="587" t="s">
        <v>1670</v>
      </c>
      <c r="AQ200" s="115" t="s">
        <v>1671</v>
      </c>
    </row>
    <row r="201" spans="1:43" ht="91.5" hidden="1">
      <c r="A201" s="115">
        <v>1</v>
      </c>
      <c r="B201" s="597" t="s">
        <v>513</v>
      </c>
      <c r="C201" s="584">
        <v>19</v>
      </c>
      <c r="D201" s="115" t="s">
        <v>1559</v>
      </c>
      <c r="E201" s="23">
        <v>1903</v>
      </c>
      <c r="F201" s="115" t="s">
        <v>2017</v>
      </c>
      <c r="G201" s="585" t="s">
        <v>2214</v>
      </c>
      <c r="H201" s="622" t="s">
        <v>2215</v>
      </c>
      <c r="I201" s="585">
        <v>190301200</v>
      </c>
      <c r="J201" s="456" t="s">
        <v>2216</v>
      </c>
      <c r="K201" s="460">
        <v>4300</v>
      </c>
      <c r="L201" s="115"/>
      <c r="M201" s="115">
        <f t="shared" si="5"/>
        <v>4300</v>
      </c>
      <c r="N201" s="587" t="s">
        <v>2217</v>
      </c>
      <c r="O201" s="456" t="s">
        <v>2218</v>
      </c>
      <c r="P201" s="456" t="s">
        <v>2219</v>
      </c>
      <c r="Q201" s="609">
        <v>230000000</v>
      </c>
      <c r="R201" s="589">
        <f>14800000+16000000+10000000+16000000+10800000+10800000+14800000+10800000+10800000+14800000+16000000+14800000</f>
        <v>160400000</v>
      </c>
      <c r="S201" s="589"/>
      <c r="T201" s="589"/>
      <c r="U201" s="589">
        <f>+Q201-R201+S201-T201</f>
        <v>69600000</v>
      </c>
      <c r="V201" s="590" t="s">
        <v>2220</v>
      </c>
      <c r="W201" s="23">
        <v>61</v>
      </c>
      <c r="X201" s="115" t="s">
        <v>1668</v>
      </c>
      <c r="Y201" s="591">
        <v>293304</v>
      </c>
      <c r="Z201" s="591">
        <v>272744</v>
      </c>
      <c r="AA201" s="591">
        <v>99059</v>
      </c>
      <c r="AB201" s="591">
        <v>36139</v>
      </c>
      <c r="AC201" s="591">
        <v>314186</v>
      </c>
      <c r="AD201" s="591">
        <v>116664</v>
      </c>
      <c r="AE201" s="591">
        <v>3247</v>
      </c>
      <c r="AF201" s="591">
        <v>6804</v>
      </c>
      <c r="AG201" s="591">
        <v>25</v>
      </c>
      <c r="AH201" s="591">
        <v>7</v>
      </c>
      <c r="AI201" s="591">
        <v>0</v>
      </c>
      <c r="AJ201" s="591">
        <v>0</v>
      </c>
      <c r="AK201" s="591">
        <v>50946</v>
      </c>
      <c r="AL201" s="591">
        <v>28554</v>
      </c>
      <c r="AM201" s="591">
        <v>53914</v>
      </c>
      <c r="AN201" s="592">
        <f t="shared" si="7"/>
        <v>566048</v>
      </c>
      <c r="AO201" s="587" t="s">
        <v>1669</v>
      </c>
      <c r="AP201" s="587" t="s">
        <v>1670</v>
      </c>
      <c r="AQ201" s="115" t="s">
        <v>1671</v>
      </c>
    </row>
    <row r="202" spans="1:43" ht="91.5" hidden="1">
      <c r="A202" s="115">
        <v>1</v>
      </c>
      <c r="B202" s="597" t="s">
        <v>513</v>
      </c>
      <c r="C202" s="584">
        <v>19</v>
      </c>
      <c r="D202" s="115" t="s">
        <v>1559</v>
      </c>
      <c r="E202" s="23">
        <v>1903</v>
      </c>
      <c r="F202" s="115" t="s">
        <v>2017</v>
      </c>
      <c r="G202" s="585" t="s">
        <v>2214</v>
      </c>
      <c r="H202" s="622" t="s">
        <v>2215</v>
      </c>
      <c r="I202" s="585" t="s">
        <v>2221</v>
      </c>
      <c r="J202" s="456" t="s">
        <v>2216</v>
      </c>
      <c r="K202" s="460">
        <v>4300</v>
      </c>
      <c r="L202" s="115"/>
      <c r="M202" s="115">
        <f t="shared" si="5"/>
        <v>4300</v>
      </c>
      <c r="N202" s="587" t="s">
        <v>2217</v>
      </c>
      <c r="O202" s="456" t="s">
        <v>2218</v>
      </c>
      <c r="P202" s="456" t="s">
        <v>2222</v>
      </c>
      <c r="Q202" s="645">
        <v>25000000</v>
      </c>
      <c r="R202" s="589">
        <f>10800000+12000000</f>
        <v>22800000</v>
      </c>
      <c r="S202" s="589"/>
      <c r="T202" s="589"/>
      <c r="U202" s="589">
        <f>+Q202-R202+S202-T202</f>
        <v>2200000</v>
      </c>
      <c r="V202" s="590" t="s">
        <v>2223</v>
      </c>
      <c r="W202" s="23">
        <v>20</v>
      </c>
      <c r="X202" s="115" t="s">
        <v>67</v>
      </c>
      <c r="Y202" s="591">
        <v>293304</v>
      </c>
      <c r="Z202" s="591">
        <v>272744</v>
      </c>
      <c r="AA202" s="591">
        <v>99059</v>
      </c>
      <c r="AB202" s="591">
        <v>36139</v>
      </c>
      <c r="AC202" s="591">
        <v>314186</v>
      </c>
      <c r="AD202" s="591">
        <v>116664</v>
      </c>
      <c r="AE202" s="591">
        <v>3247</v>
      </c>
      <c r="AF202" s="591">
        <v>6804</v>
      </c>
      <c r="AG202" s="591">
        <v>25</v>
      </c>
      <c r="AH202" s="591">
        <v>7</v>
      </c>
      <c r="AI202" s="591">
        <v>0</v>
      </c>
      <c r="AJ202" s="591">
        <v>0</v>
      </c>
      <c r="AK202" s="591">
        <v>50946</v>
      </c>
      <c r="AL202" s="591">
        <v>28554</v>
      </c>
      <c r="AM202" s="591">
        <v>53914</v>
      </c>
      <c r="AN202" s="592">
        <f t="shared" si="7"/>
        <v>566048</v>
      </c>
      <c r="AO202" s="587" t="s">
        <v>1669</v>
      </c>
      <c r="AP202" s="587" t="s">
        <v>1670</v>
      </c>
      <c r="AQ202" s="115" t="s">
        <v>1671</v>
      </c>
    </row>
    <row r="203" spans="1:43" ht="91.5" hidden="1">
      <c r="A203" s="115">
        <v>1</v>
      </c>
      <c r="B203" s="597" t="s">
        <v>513</v>
      </c>
      <c r="C203" s="584">
        <v>19</v>
      </c>
      <c r="D203" s="115" t="s">
        <v>1559</v>
      </c>
      <c r="E203" s="23">
        <v>1903</v>
      </c>
      <c r="F203" s="115" t="s">
        <v>2017</v>
      </c>
      <c r="G203" s="585" t="s">
        <v>2214</v>
      </c>
      <c r="H203" s="622" t="s">
        <v>2215</v>
      </c>
      <c r="I203" s="585" t="s">
        <v>2221</v>
      </c>
      <c r="J203" s="456" t="s">
        <v>2216</v>
      </c>
      <c r="K203" s="460">
        <v>4300</v>
      </c>
      <c r="L203" s="115"/>
      <c r="M203" s="115">
        <f t="shared" si="5"/>
        <v>4300</v>
      </c>
      <c r="N203" s="587" t="s">
        <v>2217</v>
      </c>
      <c r="O203" s="456" t="s">
        <v>2218</v>
      </c>
      <c r="P203" s="456" t="s">
        <v>2224</v>
      </c>
      <c r="Q203" s="645">
        <v>115000000</v>
      </c>
      <c r="R203" s="589">
        <v>10000000</v>
      </c>
      <c r="S203" s="589"/>
      <c r="T203" s="589"/>
      <c r="U203" s="589">
        <f>+Q203-R203+S203-T203</f>
        <v>105000000</v>
      </c>
      <c r="V203" s="590" t="s">
        <v>2225</v>
      </c>
      <c r="W203" s="23">
        <v>20</v>
      </c>
      <c r="X203" s="115" t="s">
        <v>67</v>
      </c>
      <c r="Y203" s="591">
        <v>293304</v>
      </c>
      <c r="Z203" s="591">
        <v>272744</v>
      </c>
      <c r="AA203" s="591">
        <v>99059</v>
      </c>
      <c r="AB203" s="591">
        <v>36139</v>
      </c>
      <c r="AC203" s="591">
        <v>314186</v>
      </c>
      <c r="AD203" s="591">
        <v>116664</v>
      </c>
      <c r="AE203" s="591">
        <v>3247</v>
      </c>
      <c r="AF203" s="591">
        <v>6804</v>
      </c>
      <c r="AG203" s="591">
        <v>25</v>
      </c>
      <c r="AH203" s="591">
        <v>7</v>
      </c>
      <c r="AI203" s="591">
        <v>0</v>
      </c>
      <c r="AJ203" s="591">
        <v>0</v>
      </c>
      <c r="AK203" s="591">
        <v>50946</v>
      </c>
      <c r="AL203" s="591">
        <v>28554</v>
      </c>
      <c r="AM203" s="591">
        <v>53914</v>
      </c>
      <c r="AN203" s="592">
        <f t="shared" si="7"/>
        <v>566048</v>
      </c>
      <c r="AO203" s="587" t="s">
        <v>1669</v>
      </c>
      <c r="AP203" s="587" t="s">
        <v>1670</v>
      </c>
      <c r="AQ203" s="115" t="s">
        <v>1671</v>
      </c>
    </row>
    <row r="204" spans="1:43" ht="73.5" hidden="1" customHeight="1">
      <c r="A204" s="115">
        <v>1</v>
      </c>
      <c r="B204" s="597" t="s">
        <v>513</v>
      </c>
      <c r="C204" s="584">
        <v>19</v>
      </c>
      <c r="D204" s="115" t="s">
        <v>1559</v>
      </c>
      <c r="E204" s="23">
        <v>1903</v>
      </c>
      <c r="F204" s="115" t="s">
        <v>2017</v>
      </c>
      <c r="G204" s="585">
        <v>1903034</v>
      </c>
      <c r="H204" s="622" t="s">
        <v>162</v>
      </c>
      <c r="I204" s="585">
        <v>190303400</v>
      </c>
      <c r="J204" s="456" t="s">
        <v>2226</v>
      </c>
      <c r="K204" s="929">
        <v>140</v>
      </c>
      <c r="L204" s="115">
        <v>34</v>
      </c>
      <c r="M204" s="115">
        <f t="shared" si="5"/>
        <v>174</v>
      </c>
      <c r="N204" s="587" t="s">
        <v>2217</v>
      </c>
      <c r="O204" s="456" t="s">
        <v>2218</v>
      </c>
      <c r="P204" s="456" t="s">
        <v>2227</v>
      </c>
      <c r="Q204" s="609">
        <v>169027690.5</v>
      </c>
      <c r="R204" s="589"/>
      <c r="S204" s="589"/>
      <c r="T204" s="589"/>
      <c r="U204" s="589">
        <f>+Q204-R204+S204-T204</f>
        <v>169027690.5</v>
      </c>
      <c r="V204" s="590" t="s">
        <v>2228</v>
      </c>
      <c r="W204" s="23">
        <v>61</v>
      </c>
      <c r="X204" s="115" t="s">
        <v>1668</v>
      </c>
      <c r="Y204" s="591">
        <v>293304</v>
      </c>
      <c r="Z204" s="591">
        <v>272744</v>
      </c>
      <c r="AA204" s="591">
        <v>99059</v>
      </c>
      <c r="AB204" s="591">
        <v>36139</v>
      </c>
      <c r="AC204" s="591">
        <v>314186</v>
      </c>
      <c r="AD204" s="591">
        <v>116664</v>
      </c>
      <c r="AE204" s="591">
        <v>3247</v>
      </c>
      <c r="AF204" s="591">
        <v>6804</v>
      </c>
      <c r="AG204" s="591">
        <v>25</v>
      </c>
      <c r="AH204" s="591">
        <v>7</v>
      </c>
      <c r="AI204" s="591">
        <v>0</v>
      </c>
      <c r="AJ204" s="591">
        <v>0</v>
      </c>
      <c r="AK204" s="591">
        <v>50946</v>
      </c>
      <c r="AL204" s="591">
        <v>28554</v>
      </c>
      <c r="AM204" s="591">
        <v>53914</v>
      </c>
      <c r="AN204" s="592">
        <f t="shared" si="7"/>
        <v>566048</v>
      </c>
      <c r="AO204" s="587" t="s">
        <v>1669</v>
      </c>
      <c r="AP204" s="587" t="s">
        <v>1670</v>
      </c>
      <c r="AQ204" s="115" t="s">
        <v>1671</v>
      </c>
    </row>
    <row r="205" spans="1:43" ht="91.5" hidden="1">
      <c r="A205" s="115">
        <v>1</v>
      </c>
      <c r="B205" s="597" t="s">
        <v>513</v>
      </c>
      <c r="C205" s="584">
        <v>19</v>
      </c>
      <c r="D205" s="115" t="s">
        <v>1559</v>
      </c>
      <c r="E205" s="23">
        <v>1903</v>
      </c>
      <c r="F205" s="115" t="s">
        <v>2017</v>
      </c>
      <c r="G205" s="585">
        <v>1903034</v>
      </c>
      <c r="H205" s="622" t="s">
        <v>162</v>
      </c>
      <c r="I205" s="585">
        <v>190303400</v>
      </c>
      <c r="J205" s="456" t="s">
        <v>2226</v>
      </c>
      <c r="K205" s="644">
        <v>140</v>
      </c>
      <c r="L205" s="115">
        <v>34</v>
      </c>
      <c r="M205" s="115">
        <f t="shared" si="5"/>
        <v>174</v>
      </c>
      <c r="N205" s="587" t="s">
        <v>2217</v>
      </c>
      <c r="O205" s="456" t="s">
        <v>2218</v>
      </c>
      <c r="P205" s="456" t="s">
        <v>2229</v>
      </c>
      <c r="Q205" s="645">
        <v>50000000</v>
      </c>
      <c r="R205" s="589"/>
      <c r="S205" s="589"/>
      <c r="T205" s="589"/>
      <c r="U205" s="589">
        <f>+Q205-R205+S205-T205</f>
        <v>50000000</v>
      </c>
      <c r="V205" s="590" t="s">
        <v>2230</v>
      </c>
      <c r="W205" s="23">
        <v>20</v>
      </c>
      <c r="X205" s="115" t="s">
        <v>67</v>
      </c>
      <c r="Y205" s="591">
        <v>293304</v>
      </c>
      <c r="Z205" s="591">
        <v>272744</v>
      </c>
      <c r="AA205" s="591">
        <v>99059</v>
      </c>
      <c r="AB205" s="591">
        <v>36139</v>
      </c>
      <c r="AC205" s="591">
        <v>314186</v>
      </c>
      <c r="AD205" s="591">
        <v>116664</v>
      </c>
      <c r="AE205" s="591">
        <v>3247</v>
      </c>
      <c r="AF205" s="591">
        <v>6804</v>
      </c>
      <c r="AG205" s="591">
        <v>25</v>
      </c>
      <c r="AH205" s="591">
        <v>7</v>
      </c>
      <c r="AI205" s="591">
        <v>0</v>
      </c>
      <c r="AJ205" s="591">
        <v>0</v>
      </c>
      <c r="AK205" s="591">
        <v>50946</v>
      </c>
      <c r="AL205" s="591">
        <v>28554</v>
      </c>
      <c r="AM205" s="591">
        <v>53914</v>
      </c>
      <c r="AN205" s="592">
        <f t="shared" si="7"/>
        <v>566048</v>
      </c>
      <c r="AO205" s="587" t="s">
        <v>1669</v>
      </c>
      <c r="AP205" s="587" t="s">
        <v>1670</v>
      </c>
      <c r="AQ205" s="115" t="s">
        <v>1671</v>
      </c>
    </row>
    <row r="206" spans="1:43" ht="91.5" hidden="1">
      <c r="A206" s="115">
        <v>1</v>
      </c>
      <c r="B206" s="597" t="s">
        <v>513</v>
      </c>
      <c r="C206" s="584">
        <v>19</v>
      </c>
      <c r="D206" s="115" t="s">
        <v>1559</v>
      </c>
      <c r="E206" s="23">
        <v>1903</v>
      </c>
      <c r="F206" s="115" t="s">
        <v>2017</v>
      </c>
      <c r="G206" s="585">
        <v>1903034</v>
      </c>
      <c r="H206" s="622" t="s">
        <v>162</v>
      </c>
      <c r="I206" s="585">
        <v>190303400</v>
      </c>
      <c r="J206" s="456" t="s">
        <v>2226</v>
      </c>
      <c r="K206" s="627">
        <v>140</v>
      </c>
      <c r="L206" s="115">
        <v>34</v>
      </c>
      <c r="M206" s="115">
        <f t="shared" si="5"/>
        <v>174</v>
      </c>
      <c r="N206" s="587" t="s">
        <v>2217</v>
      </c>
      <c r="O206" s="456" t="s">
        <v>2218</v>
      </c>
      <c r="P206" s="456" t="s">
        <v>2231</v>
      </c>
      <c r="Q206" s="645">
        <v>45000000</v>
      </c>
      <c r="R206" s="589"/>
      <c r="S206" s="589"/>
      <c r="T206" s="589"/>
      <c r="U206" s="589">
        <f>+Q206-R206+S206-T206</f>
        <v>45000000</v>
      </c>
      <c r="V206" s="590" t="s">
        <v>2230</v>
      </c>
      <c r="W206" s="23">
        <v>20</v>
      </c>
      <c r="X206" s="115" t="s">
        <v>67</v>
      </c>
      <c r="Y206" s="591">
        <v>293304</v>
      </c>
      <c r="Z206" s="591">
        <v>272744</v>
      </c>
      <c r="AA206" s="591">
        <v>99059</v>
      </c>
      <c r="AB206" s="591">
        <v>36139</v>
      </c>
      <c r="AC206" s="591">
        <v>314186</v>
      </c>
      <c r="AD206" s="591">
        <v>116664</v>
      </c>
      <c r="AE206" s="591">
        <v>3247</v>
      </c>
      <c r="AF206" s="591">
        <v>6804</v>
      </c>
      <c r="AG206" s="591">
        <v>25</v>
      </c>
      <c r="AH206" s="591">
        <v>7</v>
      </c>
      <c r="AI206" s="591">
        <v>0</v>
      </c>
      <c r="AJ206" s="591">
        <v>0</v>
      </c>
      <c r="AK206" s="591">
        <v>50946</v>
      </c>
      <c r="AL206" s="591">
        <v>28554</v>
      </c>
      <c r="AM206" s="591">
        <v>53914</v>
      </c>
      <c r="AN206" s="592">
        <f t="shared" si="7"/>
        <v>566048</v>
      </c>
      <c r="AO206" s="587" t="s">
        <v>1669</v>
      </c>
      <c r="AP206" s="587" t="s">
        <v>1670</v>
      </c>
      <c r="AQ206" s="115" t="s">
        <v>1671</v>
      </c>
    </row>
    <row r="207" spans="1:43" ht="91.5" hidden="1">
      <c r="A207" s="115">
        <v>1</v>
      </c>
      <c r="B207" s="597" t="s">
        <v>513</v>
      </c>
      <c r="C207" s="584">
        <v>19</v>
      </c>
      <c r="D207" s="115" t="s">
        <v>1559</v>
      </c>
      <c r="E207" s="23">
        <v>1903</v>
      </c>
      <c r="F207" s="115" t="s">
        <v>2109</v>
      </c>
      <c r="G207" s="585" t="s">
        <v>2119</v>
      </c>
      <c r="H207" s="622" t="s">
        <v>729</v>
      </c>
      <c r="I207" s="585" t="s">
        <v>2232</v>
      </c>
      <c r="J207" s="622" t="s">
        <v>2233</v>
      </c>
      <c r="K207" s="265">
        <v>12</v>
      </c>
      <c r="L207" s="115"/>
      <c r="M207" s="115">
        <f t="shared" si="5"/>
        <v>12</v>
      </c>
      <c r="N207" s="587" t="s">
        <v>2217</v>
      </c>
      <c r="O207" s="456" t="s">
        <v>2218</v>
      </c>
      <c r="P207" s="456" t="s">
        <v>2234</v>
      </c>
      <c r="Q207" s="609">
        <v>90000000</v>
      </c>
      <c r="R207" s="589">
        <v>16000000</v>
      </c>
      <c r="S207" s="589"/>
      <c r="T207" s="589"/>
      <c r="U207" s="589">
        <f>+Q207-R207+S207-T207</f>
        <v>74000000</v>
      </c>
      <c r="V207" s="590" t="s">
        <v>2235</v>
      </c>
      <c r="W207" s="23">
        <v>61</v>
      </c>
      <c r="X207" s="115" t="s">
        <v>1668</v>
      </c>
      <c r="Y207" s="591">
        <v>293304</v>
      </c>
      <c r="Z207" s="591">
        <v>272744</v>
      </c>
      <c r="AA207" s="591">
        <v>99059</v>
      </c>
      <c r="AB207" s="591">
        <v>36139</v>
      </c>
      <c r="AC207" s="591">
        <v>314186</v>
      </c>
      <c r="AD207" s="591">
        <v>116664</v>
      </c>
      <c r="AE207" s="591">
        <v>3247</v>
      </c>
      <c r="AF207" s="591">
        <v>6804</v>
      </c>
      <c r="AG207" s="591">
        <v>25</v>
      </c>
      <c r="AH207" s="591">
        <v>7</v>
      </c>
      <c r="AI207" s="591">
        <v>0</v>
      </c>
      <c r="AJ207" s="591">
        <v>0</v>
      </c>
      <c r="AK207" s="591">
        <v>50946</v>
      </c>
      <c r="AL207" s="591">
        <v>28554</v>
      </c>
      <c r="AM207" s="591">
        <v>53914</v>
      </c>
      <c r="AN207" s="592">
        <f t="shared" si="7"/>
        <v>566048</v>
      </c>
      <c r="AO207" s="587" t="s">
        <v>1669</v>
      </c>
      <c r="AP207" s="587" t="s">
        <v>1670</v>
      </c>
      <c r="AQ207" s="115" t="s">
        <v>1671</v>
      </c>
    </row>
    <row r="208" spans="1:43" ht="91.5" hidden="1">
      <c r="A208" s="115">
        <v>1</v>
      </c>
      <c r="B208" s="597" t="s">
        <v>513</v>
      </c>
      <c r="C208" s="584">
        <v>19</v>
      </c>
      <c r="D208" s="115" t="s">
        <v>1559</v>
      </c>
      <c r="E208" s="23">
        <v>1903</v>
      </c>
      <c r="F208" s="115" t="s">
        <v>2017</v>
      </c>
      <c r="G208" s="585" t="s">
        <v>2236</v>
      </c>
      <c r="H208" s="622" t="s">
        <v>2237</v>
      </c>
      <c r="I208" s="585" t="s">
        <v>2238</v>
      </c>
      <c r="J208" s="622" t="s">
        <v>2239</v>
      </c>
      <c r="K208" s="460">
        <v>12</v>
      </c>
      <c r="L208" s="115"/>
      <c r="M208" s="115">
        <f t="shared" si="5"/>
        <v>12</v>
      </c>
      <c r="N208" s="587" t="s">
        <v>2217</v>
      </c>
      <c r="O208" s="456" t="s">
        <v>2218</v>
      </c>
      <c r="P208" s="456" t="s">
        <v>2240</v>
      </c>
      <c r="Q208" s="609">
        <v>140000000</v>
      </c>
      <c r="R208" s="589"/>
      <c r="S208" s="589"/>
      <c r="T208" s="589"/>
      <c r="U208" s="589">
        <f>+Q208-R208+S208-T208</f>
        <v>140000000</v>
      </c>
      <c r="V208" s="590" t="s">
        <v>2241</v>
      </c>
      <c r="W208" s="23">
        <v>61</v>
      </c>
      <c r="X208" s="115" t="s">
        <v>1668</v>
      </c>
      <c r="Y208" s="591">
        <v>293304</v>
      </c>
      <c r="Z208" s="591">
        <v>272744</v>
      </c>
      <c r="AA208" s="591">
        <v>99059</v>
      </c>
      <c r="AB208" s="591">
        <v>36139</v>
      </c>
      <c r="AC208" s="591">
        <v>314186</v>
      </c>
      <c r="AD208" s="591">
        <v>116664</v>
      </c>
      <c r="AE208" s="591">
        <v>3247</v>
      </c>
      <c r="AF208" s="591">
        <v>6804</v>
      </c>
      <c r="AG208" s="591">
        <v>25</v>
      </c>
      <c r="AH208" s="591">
        <v>7</v>
      </c>
      <c r="AI208" s="591">
        <v>0</v>
      </c>
      <c r="AJ208" s="591">
        <v>0</v>
      </c>
      <c r="AK208" s="591">
        <v>50946</v>
      </c>
      <c r="AL208" s="591">
        <v>28554</v>
      </c>
      <c r="AM208" s="591">
        <v>53914</v>
      </c>
      <c r="AN208" s="592">
        <f t="shared" si="7"/>
        <v>566048</v>
      </c>
      <c r="AO208" s="587" t="s">
        <v>1669</v>
      </c>
      <c r="AP208" s="587" t="s">
        <v>1670</v>
      </c>
      <c r="AQ208" s="115" t="s">
        <v>1671</v>
      </c>
    </row>
    <row r="209" spans="1:44" ht="91.5" hidden="1">
      <c r="A209" s="115">
        <v>1</v>
      </c>
      <c r="B209" s="597" t="s">
        <v>513</v>
      </c>
      <c r="C209" s="584">
        <v>19</v>
      </c>
      <c r="D209" s="115" t="s">
        <v>1559</v>
      </c>
      <c r="E209" s="23">
        <v>1905</v>
      </c>
      <c r="F209" s="115" t="s">
        <v>1659</v>
      </c>
      <c r="G209" s="585">
        <v>1905031</v>
      </c>
      <c r="H209" s="586" t="s">
        <v>1697</v>
      </c>
      <c r="I209" s="585">
        <v>190503100</v>
      </c>
      <c r="J209" s="456" t="s">
        <v>1698</v>
      </c>
      <c r="K209" s="265">
        <v>12</v>
      </c>
      <c r="L209" s="115"/>
      <c r="M209" s="115">
        <f t="shared" si="5"/>
        <v>12</v>
      </c>
      <c r="N209" s="587" t="s">
        <v>2242</v>
      </c>
      <c r="O209" s="456" t="s">
        <v>2243</v>
      </c>
      <c r="P209" s="456" t="s">
        <v>2244</v>
      </c>
      <c r="Q209" s="609">
        <v>410615631.16000003</v>
      </c>
      <c r="R209" s="589">
        <f>15416000+15396000+82148000+28040000+44872000+49080000+117744000+17520000+17520000+19624000</f>
        <v>407360000</v>
      </c>
      <c r="S209" s="589"/>
      <c r="T209" s="589"/>
      <c r="U209" s="589">
        <f>+Q209-R209+S209-T209</f>
        <v>3255631.1600000262</v>
      </c>
      <c r="V209" s="590" t="s">
        <v>2245</v>
      </c>
      <c r="W209" s="23">
        <v>61</v>
      </c>
      <c r="X209" s="115" t="s">
        <v>1668</v>
      </c>
      <c r="Y209" s="591">
        <v>293304</v>
      </c>
      <c r="Z209" s="591">
        <v>272744</v>
      </c>
      <c r="AA209" s="591">
        <v>99059</v>
      </c>
      <c r="AB209" s="591">
        <v>36139</v>
      </c>
      <c r="AC209" s="591">
        <v>314186</v>
      </c>
      <c r="AD209" s="591">
        <v>116664</v>
      </c>
      <c r="AE209" s="591">
        <v>3247</v>
      </c>
      <c r="AF209" s="591">
        <v>6804</v>
      </c>
      <c r="AG209" s="591">
        <v>25</v>
      </c>
      <c r="AH209" s="591">
        <v>7</v>
      </c>
      <c r="AI209" s="591">
        <v>0</v>
      </c>
      <c r="AJ209" s="591">
        <v>0</v>
      </c>
      <c r="AK209" s="591">
        <v>50946</v>
      </c>
      <c r="AL209" s="591">
        <v>28554</v>
      </c>
      <c r="AM209" s="591">
        <v>53914</v>
      </c>
      <c r="AN209" s="592">
        <f t="shared" si="7"/>
        <v>566048</v>
      </c>
      <c r="AO209" s="587" t="s">
        <v>1669</v>
      </c>
      <c r="AP209" s="587" t="s">
        <v>1670</v>
      </c>
      <c r="AQ209" s="115" t="s">
        <v>1671</v>
      </c>
    </row>
    <row r="210" spans="1:44" ht="91.5" hidden="1">
      <c r="A210" s="115">
        <v>1</v>
      </c>
      <c r="B210" s="597" t="s">
        <v>513</v>
      </c>
      <c r="C210" s="584">
        <v>19</v>
      </c>
      <c r="D210" s="115" t="s">
        <v>1559</v>
      </c>
      <c r="E210" s="23">
        <v>1905</v>
      </c>
      <c r="F210" s="115" t="s">
        <v>1659</v>
      </c>
      <c r="G210" s="646">
        <v>1905050</v>
      </c>
      <c r="H210" s="647" t="s">
        <v>162</v>
      </c>
      <c r="I210" s="585">
        <v>190505004</v>
      </c>
      <c r="J210" s="586" t="s">
        <v>2246</v>
      </c>
      <c r="K210" s="599">
        <v>12</v>
      </c>
      <c r="L210" s="115"/>
      <c r="M210" s="115">
        <f t="shared" si="5"/>
        <v>12</v>
      </c>
      <c r="N210" s="587" t="s">
        <v>2242</v>
      </c>
      <c r="O210" s="456" t="s">
        <v>2243</v>
      </c>
      <c r="P210" s="456" t="s">
        <v>2247</v>
      </c>
      <c r="Q210" s="609">
        <v>1592550891.25</v>
      </c>
      <c r="R210" s="589">
        <f>986667+19624000+123034000+38560000+16000000+16000000+16000000+640000000</f>
        <v>870204667</v>
      </c>
      <c r="S210" s="589"/>
      <c r="T210" s="589"/>
      <c r="U210" s="589">
        <f>+Q210-R210+S210-T210</f>
        <v>722346224.25</v>
      </c>
      <c r="V210" s="590" t="s">
        <v>2248</v>
      </c>
      <c r="W210" s="23">
        <v>61</v>
      </c>
      <c r="X210" s="115" t="s">
        <v>1668</v>
      </c>
      <c r="Y210" s="591">
        <v>293304</v>
      </c>
      <c r="Z210" s="591">
        <v>272744</v>
      </c>
      <c r="AA210" s="591">
        <v>99059</v>
      </c>
      <c r="AB210" s="591">
        <v>36139</v>
      </c>
      <c r="AC210" s="591">
        <v>314186</v>
      </c>
      <c r="AD210" s="591">
        <v>116664</v>
      </c>
      <c r="AE210" s="591">
        <v>3247</v>
      </c>
      <c r="AF210" s="591">
        <v>6804</v>
      </c>
      <c r="AG210" s="591">
        <v>25</v>
      </c>
      <c r="AH210" s="591">
        <v>7</v>
      </c>
      <c r="AI210" s="591">
        <v>0</v>
      </c>
      <c r="AJ210" s="591">
        <v>0</v>
      </c>
      <c r="AK210" s="591">
        <v>50946</v>
      </c>
      <c r="AL210" s="591">
        <v>28554</v>
      </c>
      <c r="AM210" s="591">
        <v>53914</v>
      </c>
      <c r="AN210" s="592">
        <f t="shared" si="7"/>
        <v>566048</v>
      </c>
      <c r="AO210" s="587" t="s">
        <v>1669</v>
      </c>
      <c r="AP210" s="587" t="s">
        <v>1670</v>
      </c>
      <c r="AQ210" s="115" t="s">
        <v>1671</v>
      </c>
    </row>
    <row r="211" spans="1:44" ht="105" hidden="1" customHeight="1">
      <c r="A211" s="115">
        <v>1</v>
      </c>
      <c r="B211" s="597" t="s">
        <v>513</v>
      </c>
      <c r="C211" s="584">
        <v>19</v>
      </c>
      <c r="D211" s="115" t="s">
        <v>1559</v>
      </c>
      <c r="E211" s="23">
        <v>1905</v>
      </c>
      <c r="F211" s="115" t="s">
        <v>1659</v>
      </c>
      <c r="G211" s="646">
        <v>1905051</v>
      </c>
      <c r="H211" s="647" t="s">
        <v>2249</v>
      </c>
      <c r="I211" s="585">
        <v>190505101</v>
      </c>
      <c r="J211" s="586" t="s">
        <v>2250</v>
      </c>
      <c r="K211" s="644">
        <v>1</v>
      </c>
      <c r="L211" s="115"/>
      <c r="M211" s="115">
        <f t="shared" si="5"/>
        <v>1</v>
      </c>
      <c r="N211" s="587" t="s">
        <v>2242</v>
      </c>
      <c r="O211" s="456" t="s">
        <v>2243</v>
      </c>
      <c r="P211" s="456" t="s">
        <v>2251</v>
      </c>
      <c r="Q211" s="609">
        <v>35000000</v>
      </c>
      <c r="R211" s="589"/>
      <c r="S211" s="589"/>
      <c r="T211" s="589"/>
      <c r="U211" s="589">
        <f>+Q211-R211+S211-T211</f>
        <v>35000000</v>
      </c>
      <c r="V211" s="590" t="s">
        <v>2252</v>
      </c>
      <c r="W211" s="23">
        <v>61</v>
      </c>
      <c r="X211" s="115" t="s">
        <v>1668</v>
      </c>
      <c r="Y211" s="591">
        <v>293304</v>
      </c>
      <c r="Z211" s="591">
        <v>272744</v>
      </c>
      <c r="AA211" s="591">
        <v>99059</v>
      </c>
      <c r="AB211" s="591">
        <v>36139</v>
      </c>
      <c r="AC211" s="591">
        <v>314186</v>
      </c>
      <c r="AD211" s="591">
        <v>116664</v>
      </c>
      <c r="AE211" s="591">
        <v>3247</v>
      </c>
      <c r="AF211" s="591">
        <v>6804</v>
      </c>
      <c r="AG211" s="591">
        <v>25</v>
      </c>
      <c r="AH211" s="591">
        <v>7</v>
      </c>
      <c r="AI211" s="591">
        <v>0</v>
      </c>
      <c r="AJ211" s="591">
        <v>0</v>
      </c>
      <c r="AK211" s="591">
        <v>50946</v>
      </c>
      <c r="AL211" s="591">
        <v>28554</v>
      </c>
      <c r="AM211" s="591">
        <v>53914</v>
      </c>
      <c r="AN211" s="592">
        <f t="shared" si="7"/>
        <v>566048</v>
      </c>
      <c r="AO211" s="587" t="s">
        <v>1669</v>
      </c>
      <c r="AP211" s="587" t="s">
        <v>1670</v>
      </c>
      <c r="AQ211" s="115" t="s">
        <v>1671</v>
      </c>
    </row>
    <row r="212" spans="1:44" ht="91.5" hidden="1">
      <c r="A212" s="115">
        <v>1</v>
      </c>
      <c r="B212" s="597" t="s">
        <v>513</v>
      </c>
      <c r="C212" s="584">
        <v>19</v>
      </c>
      <c r="D212" s="115" t="s">
        <v>1559</v>
      </c>
      <c r="E212" s="23">
        <v>1905</v>
      </c>
      <c r="F212" s="115" t="s">
        <v>1659</v>
      </c>
      <c r="G212" s="646">
        <v>1905051</v>
      </c>
      <c r="H212" s="647" t="s">
        <v>2249</v>
      </c>
      <c r="I212" s="585">
        <v>190505101</v>
      </c>
      <c r="J212" s="586" t="s">
        <v>2250</v>
      </c>
      <c r="K212" s="644">
        <v>1</v>
      </c>
      <c r="L212" s="115"/>
      <c r="M212" s="115">
        <f t="shared" si="5"/>
        <v>1</v>
      </c>
      <c r="N212" s="587" t="s">
        <v>2242</v>
      </c>
      <c r="O212" s="456" t="s">
        <v>2243</v>
      </c>
      <c r="P212" s="456" t="s">
        <v>2253</v>
      </c>
      <c r="Q212" s="600">
        <v>20000000</v>
      </c>
      <c r="R212" s="589"/>
      <c r="S212" s="589"/>
      <c r="T212" s="589"/>
      <c r="U212" s="589">
        <f>+Q212-R212+S212-T212</f>
        <v>20000000</v>
      </c>
      <c r="V212" s="590" t="s">
        <v>2254</v>
      </c>
      <c r="W212" s="23">
        <v>20</v>
      </c>
      <c r="X212" s="115" t="s">
        <v>67</v>
      </c>
      <c r="Y212" s="591">
        <v>293304</v>
      </c>
      <c r="Z212" s="591">
        <v>272744</v>
      </c>
      <c r="AA212" s="591">
        <v>99059</v>
      </c>
      <c r="AB212" s="591">
        <v>36139</v>
      </c>
      <c r="AC212" s="591">
        <v>314186</v>
      </c>
      <c r="AD212" s="591">
        <v>116664</v>
      </c>
      <c r="AE212" s="591">
        <v>3247</v>
      </c>
      <c r="AF212" s="591">
        <v>6804</v>
      </c>
      <c r="AG212" s="591">
        <v>25</v>
      </c>
      <c r="AH212" s="591">
        <v>7</v>
      </c>
      <c r="AI212" s="591">
        <v>0</v>
      </c>
      <c r="AJ212" s="591">
        <v>0</v>
      </c>
      <c r="AK212" s="591">
        <v>50946</v>
      </c>
      <c r="AL212" s="591">
        <v>28554</v>
      </c>
      <c r="AM212" s="591">
        <v>53914</v>
      </c>
      <c r="AN212" s="592">
        <f t="shared" si="7"/>
        <v>566048</v>
      </c>
      <c r="AO212" s="587" t="s">
        <v>1669</v>
      </c>
      <c r="AP212" s="587" t="s">
        <v>1670</v>
      </c>
      <c r="AQ212" s="115" t="s">
        <v>1671</v>
      </c>
    </row>
    <row r="213" spans="1:44" ht="60.75" hidden="1">
      <c r="A213" s="115">
        <v>1</v>
      </c>
      <c r="B213" s="597" t="s">
        <v>513</v>
      </c>
      <c r="C213" s="584">
        <v>19</v>
      </c>
      <c r="D213" s="115" t="s">
        <v>1559</v>
      </c>
      <c r="E213" s="23">
        <v>1906</v>
      </c>
      <c r="F213" s="115" t="s">
        <v>1730</v>
      </c>
      <c r="G213" s="593">
        <v>1906033</v>
      </c>
      <c r="H213" s="594" t="s">
        <v>2255</v>
      </c>
      <c r="I213" s="585">
        <v>190603300</v>
      </c>
      <c r="J213" s="595" t="s">
        <v>2255</v>
      </c>
      <c r="K213" s="115">
        <v>3</v>
      </c>
      <c r="L213" s="115"/>
      <c r="M213" s="115">
        <f t="shared" si="5"/>
        <v>3</v>
      </c>
      <c r="N213" s="587" t="s">
        <v>2256</v>
      </c>
      <c r="O213" s="456" t="s">
        <v>2257</v>
      </c>
      <c r="P213" s="456" t="s">
        <v>2258</v>
      </c>
      <c r="Q213" s="623">
        <v>20000000</v>
      </c>
      <c r="R213" s="589"/>
      <c r="S213" s="589"/>
      <c r="T213" s="589"/>
      <c r="U213" s="589">
        <f>+Q213-R213+S213-T213</f>
        <v>20000000</v>
      </c>
      <c r="V213" s="590" t="s">
        <v>2259</v>
      </c>
      <c r="W213" s="23">
        <v>20</v>
      </c>
      <c r="X213" s="115" t="s">
        <v>67</v>
      </c>
      <c r="Y213" s="591">
        <v>293304</v>
      </c>
      <c r="Z213" s="591">
        <v>272744</v>
      </c>
      <c r="AA213" s="591">
        <v>99059</v>
      </c>
      <c r="AB213" s="591">
        <v>36139</v>
      </c>
      <c r="AC213" s="591">
        <v>314186</v>
      </c>
      <c r="AD213" s="591">
        <v>116664</v>
      </c>
      <c r="AE213" s="591">
        <v>3247</v>
      </c>
      <c r="AF213" s="591">
        <v>6804</v>
      </c>
      <c r="AG213" s="591">
        <v>25</v>
      </c>
      <c r="AH213" s="591">
        <v>7</v>
      </c>
      <c r="AI213" s="591">
        <v>0</v>
      </c>
      <c r="AJ213" s="591">
        <v>0</v>
      </c>
      <c r="AK213" s="591">
        <v>50946</v>
      </c>
      <c r="AL213" s="591">
        <v>28554</v>
      </c>
      <c r="AM213" s="591">
        <v>53914</v>
      </c>
      <c r="AN213" s="592">
        <f t="shared" si="7"/>
        <v>566048</v>
      </c>
      <c r="AO213" s="587" t="s">
        <v>1669</v>
      </c>
      <c r="AP213" s="587" t="s">
        <v>1670</v>
      </c>
      <c r="AQ213" s="115" t="s">
        <v>1671</v>
      </c>
    </row>
    <row r="214" spans="1:44" ht="63.75" hidden="1" customHeight="1">
      <c r="A214" s="115">
        <v>1</v>
      </c>
      <c r="B214" s="597" t="s">
        <v>513</v>
      </c>
      <c r="C214" s="584">
        <v>19</v>
      </c>
      <c r="D214" s="115" t="s">
        <v>1559</v>
      </c>
      <c r="E214" s="23">
        <v>1905</v>
      </c>
      <c r="F214" s="115" t="s">
        <v>1659</v>
      </c>
      <c r="G214" s="593">
        <v>1905044</v>
      </c>
      <c r="H214" s="594" t="s">
        <v>2260</v>
      </c>
      <c r="I214" s="585">
        <v>190504400</v>
      </c>
      <c r="J214" s="595" t="s">
        <v>2261</v>
      </c>
      <c r="K214" s="115">
        <v>2</v>
      </c>
      <c r="L214" s="115"/>
      <c r="M214" s="115">
        <f t="shared" si="5"/>
        <v>2</v>
      </c>
      <c r="N214" s="587" t="s">
        <v>2262</v>
      </c>
      <c r="O214" s="456" t="s">
        <v>2263</v>
      </c>
      <c r="P214" s="456" t="s">
        <v>2264</v>
      </c>
      <c r="Q214" s="648">
        <v>52587586.240000002</v>
      </c>
      <c r="R214" s="589"/>
      <c r="S214" s="589"/>
      <c r="T214" s="589"/>
      <c r="U214" s="589">
        <f>+Q214-R214+S214-T214</f>
        <v>52587586.240000002</v>
      </c>
      <c r="V214" s="590" t="s">
        <v>2265</v>
      </c>
      <c r="W214" s="23">
        <v>20</v>
      </c>
      <c r="X214" s="115" t="s">
        <v>67</v>
      </c>
      <c r="Y214" s="591">
        <v>293304</v>
      </c>
      <c r="Z214" s="591">
        <v>272744</v>
      </c>
      <c r="AA214" s="591">
        <v>99059</v>
      </c>
      <c r="AB214" s="591">
        <v>36139</v>
      </c>
      <c r="AC214" s="591">
        <v>314186</v>
      </c>
      <c r="AD214" s="591">
        <v>116664</v>
      </c>
      <c r="AE214" s="591">
        <v>3247</v>
      </c>
      <c r="AF214" s="591">
        <v>6804</v>
      </c>
      <c r="AG214" s="591">
        <v>25</v>
      </c>
      <c r="AH214" s="591">
        <v>7</v>
      </c>
      <c r="AI214" s="591">
        <v>0</v>
      </c>
      <c r="AJ214" s="591">
        <v>0</v>
      </c>
      <c r="AK214" s="591">
        <v>50946</v>
      </c>
      <c r="AL214" s="591">
        <v>28554</v>
      </c>
      <c r="AM214" s="591">
        <v>53914</v>
      </c>
      <c r="AN214" s="592">
        <f t="shared" si="7"/>
        <v>566048</v>
      </c>
      <c r="AO214" s="587" t="s">
        <v>1669</v>
      </c>
      <c r="AP214" s="587" t="s">
        <v>1670</v>
      </c>
      <c r="AQ214" s="115" t="s">
        <v>1671</v>
      </c>
    </row>
    <row r="215" spans="1:44" ht="45.75" hidden="1">
      <c r="A215" s="115">
        <v>1</v>
      </c>
      <c r="B215" s="597" t="s">
        <v>513</v>
      </c>
      <c r="C215" s="584">
        <v>19</v>
      </c>
      <c r="D215" s="115" t="s">
        <v>1559</v>
      </c>
      <c r="E215" s="23">
        <v>1905</v>
      </c>
      <c r="F215" s="115" t="s">
        <v>1659</v>
      </c>
      <c r="G215" s="593">
        <v>1905044</v>
      </c>
      <c r="H215" s="594" t="s">
        <v>2260</v>
      </c>
      <c r="I215" s="585">
        <v>190504400</v>
      </c>
      <c r="J215" s="595" t="s">
        <v>2261</v>
      </c>
      <c r="K215" s="115">
        <v>2</v>
      </c>
      <c r="L215" s="115"/>
      <c r="M215" s="115">
        <f t="shared" si="5"/>
        <v>2</v>
      </c>
      <c r="N215" s="587" t="s">
        <v>2262</v>
      </c>
      <c r="O215" s="456" t="s">
        <v>2263</v>
      </c>
      <c r="P215" s="456" t="s">
        <v>2266</v>
      </c>
      <c r="Q215" s="648">
        <v>42412413.759999998</v>
      </c>
      <c r="R215" s="589"/>
      <c r="S215" s="589"/>
      <c r="T215" s="589"/>
      <c r="U215" s="589">
        <f>+Q215-R215+S215-T215</f>
        <v>42412413.759999998</v>
      </c>
      <c r="V215" s="590" t="s">
        <v>2267</v>
      </c>
      <c r="W215" s="28">
        <v>1</v>
      </c>
      <c r="X215" s="115" t="s">
        <v>2268</v>
      </c>
      <c r="Y215" s="591">
        <v>293304</v>
      </c>
      <c r="Z215" s="591">
        <v>272744</v>
      </c>
      <c r="AA215" s="591">
        <v>99059</v>
      </c>
      <c r="AB215" s="591">
        <v>36139</v>
      </c>
      <c r="AC215" s="591">
        <v>314186</v>
      </c>
      <c r="AD215" s="591">
        <v>116664</v>
      </c>
      <c r="AE215" s="591">
        <v>3247</v>
      </c>
      <c r="AF215" s="591">
        <v>6804</v>
      </c>
      <c r="AG215" s="591">
        <v>25</v>
      </c>
      <c r="AH215" s="591">
        <v>7</v>
      </c>
      <c r="AI215" s="591">
        <v>0</v>
      </c>
      <c r="AJ215" s="591">
        <v>0</v>
      </c>
      <c r="AK215" s="591">
        <v>50946</v>
      </c>
      <c r="AL215" s="591">
        <v>28554</v>
      </c>
      <c r="AM215" s="591">
        <v>53914</v>
      </c>
      <c r="AN215" s="592">
        <f t="shared" si="7"/>
        <v>566048</v>
      </c>
      <c r="AO215" s="587" t="s">
        <v>1669</v>
      </c>
      <c r="AP215" s="587" t="s">
        <v>1670</v>
      </c>
      <c r="AQ215" s="115" t="s">
        <v>1671</v>
      </c>
    </row>
    <row r="216" spans="1:44" ht="45.75" hidden="1">
      <c r="A216" s="115">
        <v>1</v>
      </c>
      <c r="B216" s="597" t="s">
        <v>513</v>
      </c>
      <c r="C216" s="584">
        <v>19</v>
      </c>
      <c r="D216" s="115" t="s">
        <v>1559</v>
      </c>
      <c r="E216" s="23">
        <v>1905</v>
      </c>
      <c r="F216" s="115" t="s">
        <v>1659</v>
      </c>
      <c r="G216" s="593">
        <v>1905017</v>
      </c>
      <c r="H216" s="594" t="s">
        <v>2269</v>
      </c>
      <c r="I216" s="585">
        <v>190501700</v>
      </c>
      <c r="J216" s="595" t="s">
        <v>2269</v>
      </c>
      <c r="K216" s="115">
        <v>1</v>
      </c>
      <c r="L216" s="115"/>
      <c r="M216" s="115">
        <f>+K216+L216</f>
        <v>1</v>
      </c>
      <c r="N216" s="587" t="s">
        <v>2270</v>
      </c>
      <c r="O216" s="456" t="s">
        <v>2271</v>
      </c>
      <c r="P216" s="456" t="s">
        <v>2272</v>
      </c>
      <c r="Q216" s="648">
        <v>50000000</v>
      </c>
      <c r="R216" s="589"/>
      <c r="S216" s="589"/>
      <c r="T216" s="589"/>
      <c r="U216" s="589">
        <f>+Q216-R216+S216-T216</f>
        <v>50000000</v>
      </c>
      <c r="V216" s="590" t="s">
        <v>2273</v>
      </c>
      <c r="W216" s="23">
        <v>20</v>
      </c>
      <c r="X216" s="115" t="s">
        <v>67</v>
      </c>
      <c r="Y216" s="591">
        <v>293304</v>
      </c>
      <c r="Z216" s="591">
        <v>272744</v>
      </c>
      <c r="AA216" s="591">
        <v>99059</v>
      </c>
      <c r="AB216" s="591">
        <v>36139</v>
      </c>
      <c r="AC216" s="591">
        <v>314186</v>
      </c>
      <c r="AD216" s="591">
        <v>116664</v>
      </c>
      <c r="AE216" s="591">
        <v>3247</v>
      </c>
      <c r="AF216" s="591">
        <v>6804</v>
      </c>
      <c r="AG216" s="591">
        <v>25</v>
      </c>
      <c r="AH216" s="591">
        <v>7</v>
      </c>
      <c r="AI216" s="591">
        <v>0</v>
      </c>
      <c r="AJ216" s="591">
        <v>0</v>
      </c>
      <c r="AK216" s="591">
        <v>50946</v>
      </c>
      <c r="AL216" s="591">
        <v>28554</v>
      </c>
      <c r="AM216" s="591">
        <v>53914</v>
      </c>
      <c r="AN216" s="592">
        <f t="shared" si="7"/>
        <v>566048</v>
      </c>
      <c r="AO216" s="587" t="s">
        <v>1669</v>
      </c>
      <c r="AP216" s="587" t="s">
        <v>1670</v>
      </c>
      <c r="AQ216" s="115" t="s">
        <v>1671</v>
      </c>
    </row>
    <row r="217" spans="1:44" s="17" customFormat="1" ht="27.6" hidden="1" customHeight="1" thickBot="1">
      <c r="A217" s="20"/>
      <c r="B217" s="21"/>
      <c r="C217" s="21"/>
      <c r="D217" s="21"/>
      <c r="E217" s="21"/>
      <c r="F217" s="21"/>
      <c r="G217" s="21"/>
      <c r="H217" s="21"/>
      <c r="I217" s="21"/>
      <c r="J217" s="21"/>
      <c r="K217" s="21"/>
      <c r="L217" s="21"/>
      <c r="M217" s="21"/>
      <c r="N217" s="21"/>
      <c r="O217" s="21"/>
      <c r="P217" s="26"/>
      <c r="Q217" s="649">
        <f>SUM(Q10:Q216)</f>
        <v>77698989028.00412</v>
      </c>
      <c r="R217" s="30"/>
      <c r="S217" s="30"/>
      <c r="T217" s="30"/>
      <c r="U217" s="30"/>
      <c r="V217" s="21"/>
      <c r="W217" s="21"/>
      <c r="X217" s="650"/>
      <c r="Y217" s="21"/>
      <c r="Z217" s="21"/>
      <c r="AA217" s="21"/>
      <c r="AB217" s="21"/>
      <c r="AC217" s="21"/>
      <c r="AD217" s="21"/>
      <c r="AE217" s="21"/>
      <c r="AF217" s="21"/>
      <c r="AG217" s="21"/>
      <c r="AH217" s="21"/>
      <c r="AI217" s="21"/>
      <c r="AJ217" s="21"/>
      <c r="AK217" s="21"/>
      <c r="AL217" s="21"/>
      <c r="AM217" s="21"/>
      <c r="AN217" s="21"/>
      <c r="AO217" s="21"/>
      <c r="AP217" s="21"/>
      <c r="AQ217" s="22"/>
    </row>
    <row r="218" spans="1:44" s="17" customFormat="1" ht="14.25">
      <c r="Q218" s="651"/>
      <c r="W218" s="18"/>
      <c r="X218" s="652"/>
    </row>
    <row r="219" spans="1:44" s="17" customFormat="1" ht="14.25">
      <c r="Q219" s="651"/>
      <c r="W219" s="18"/>
      <c r="X219" s="652"/>
    </row>
    <row r="220" spans="1:44" s="17" customFormat="1" ht="14.25">
      <c r="Q220" s="651"/>
      <c r="W220" s="18"/>
      <c r="X220" s="652"/>
    </row>
    <row r="221" spans="1:44" s="17" customFormat="1" ht="14.25">
      <c r="Q221" s="651"/>
      <c r="W221" s="18"/>
      <c r="X221" s="652"/>
    </row>
    <row r="222" spans="1:44" s="17" customFormat="1">
      <c r="K222" s="980" t="s">
        <v>2274</v>
      </c>
      <c r="L222" s="980"/>
      <c r="M222" s="980"/>
      <c r="N222" s="980"/>
      <c r="O222" s="980"/>
      <c r="P222" s="980"/>
      <c r="Q222" s="980"/>
      <c r="R222" s="37"/>
      <c r="S222" s="31"/>
      <c r="T222" s="31"/>
      <c r="U222" s="31"/>
      <c r="W222" s="18"/>
      <c r="X222" s="652"/>
    </row>
    <row r="223" spans="1:44">
      <c r="K223" s="981" t="s">
        <v>107</v>
      </c>
      <c r="L223" s="981"/>
      <c r="M223" s="981"/>
      <c r="N223" s="981"/>
      <c r="O223" s="981"/>
      <c r="P223" s="981"/>
      <c r="Q223" s="981"/>
      <c r="R223" s="38"/>
      <c r="S223" s="964"/>
      <c r="T223" s="964"/>
      <c r="U223" s="964"/>
    </row>
    <row r="224" spans="1:44">
      <c r="A224" s="17"/>
      <c r="B224" s="17"/>
      <c r="C224" s="17"/>
      <c r="D224" s="17"/>
      <c r="E224" s="17"/>
      <c r="F224" s="17"/>
      <c r="G224" s="17"/>
      <c r="H224" s="17"/>
      <c r="I224" s="17"/>
      <c r="J224" s="17"/>
      <c r="K224" s="17"/>
      <c r="L224" s="17"/>
      <c r="M224" s="17"/>
      <c r="N224" s="17"/>
      <c r="O224" s="17"/>
      <c r="P224" s="17"/>
      <c r="Q224" s="651"/>
      <c r="R224" s="17"/>
      <c r="S224" s="17"/>
      <c r="T224" s="17"/>
      <c r="U224" s="17"/>
      <c r="V224" s="17"/>
      <c r="W224" s="18"/>
      <c r="X224" s="652"/>
      <c r="Y224" s="17"/>
      <c r="Z224" s="17"/>
      <c r="AA224" s="17"/>
      <c r="AB224" s="17"/>
      <c r="AC224" s="17"/>
      <c r="AD224" s="17"/>
      <c r="AE224" s="17"/>
      <c r="AF224" s="17"/>
      <c r="AG224" s="17"/>
      <c r="AH224" s="17"/>
      <c r="AI224" s="17"/>
      <c r="AJ224" s="17"/>
      <c r="AK224" s="17"/>
      <c r="AL224" s="17"/>
      <c r="AM224" s="17"/>
      <c r="AN224" s="17"/>
      <c r="AO224" s="17"/>
      <c r="AP224" s="17"/>
      <c r="AQ224" s="17"/>
      <c r="AR224" s="17"/>
    </row>
    <row r="225" spans="1:44">
      <c r="A225" s="17"/>
      <c r="B225" s="17"/>
      <c r="C225" s="17"/>
      <c r="D225" s="17"/>
      <c r="E225" s="17"/>
      <c r="F225" s="17"/>
      <c r="G225" s="17"/>
      <c r="H225" s="17"/>
      <c r="I225" s="17"/>
      <c r="J225" s="17"/>
      <c r="K225" s="17"/>
      <c r="L225" s="17"/>
      <c r="M225" s="17"/>
      <c r="N225" s="17"/>
      <c r="O225" s="17"/>
      <c r="P225" s="17"/>
      <c r="Q225" s="651"/>
      <c r="R225" s="17"/>
      <c r="S225" s="17"/>
      <c r="T225" s="17"/>
      <c r="U225" s="17"/>
      <c r="V225" s="17"/>
      <c r="W225" s="18"/>
      <c r="X225" s="652"/>
      <c r="Y225" s="17"/>
      <c r="Z225" s="17"/>
      <c r="AA225" s="17"/>
      <c r="AB225" s="17"/>
      <c r="AC225" s="17"/>
      <c r="AD225" s="17"/>
      <c r="AE225" s="17"/>
      <c r="AF225" s="17"/>
      <c r="AG225" s="17"/>
      <c r="AH225" s="17"/>
      <c r="AI225" s="17"/>
      <c r="AJ225" s="17"/>
      <c r="AK225" s="17"/>
      <c r="AL225" s="17"/>
      <c r="AM225" s="17"/>
      <c r="AN225" s="17"/>
      <c r="AO225" s="17"/>
      <c r="AP225" s="17"/>
      <c r="AQ225" s="17"/>
      <c r="AR225" s="17"/>
    </row>
    <row r="226" spans="1:44">
      <c r="A226" s="17"/>
      <c r="B226" s="17"/>
      <c r="C226" s="17"/>
      <c r="D226" s="17"/>
      <c r="E226" s="17"/>
      <c r="F226" s="17"/>
      <c r="G226" s="979" t="s">
        <v>108</v>
      </c>
      <c r="H226" s="979"/>
      <c r="I226" s="982" t="s">
        <v>109</v>
      </c>
      <c r="J226" s="983"/>
      <c r="K226" s="984" t="s">
        <v>110</v>
      </c>
      <c r="L226" s="985"/>
      <c r="M226" s="985"/>
      <c r="N226" s="986"/>
      <c r="O226" s="17"/>
      <c r="P226" s="17"/>
      <c r="Q226" s="651"/>
      <c r="R226" s="17"/>
      <c r="S226" s="17"/>
      <c r="T226" s="17"/>
      <c r="U226" s="17"/>
      <c r="V226" s="17"/>
      <c r="W226" s="18"/>
      <c r="X226" s="652"/>
      <c r="Y226" s="17"/>
      <c r="Z226" s="17"/>
      <c r="AA226" s="17"/>
      <c r="AB226" s="17"/>
      <c r="AC226" s="17"/>
      <c r="AD226" s="17"/>
      <c r="AE226" s="17"/>
      <c r="AF226" s="17"/>
      <c r="AG226" s="17"/>
      <c r="AH226" s="17"/>
      <c r="AI226" s="17"/>
      <c r="AJ226" s="17"/>
      <c r="AK226" s="17"/>
      <c r="AL226" s="17"/>
      <c r="AM226" s="17"/>
      <c r="AN226" s="17"/>
      <c r="AO226" s="17"/>
      <c r="AP226" s="17"/>
      <c r="AQ226" s="17"/>
      <c r="AR226" s="17"/>
    </row>
    <row r="227" spans="1:44" ht="31.5" customHeight="1">
      <c r="A227" s="17"/>
      <c r="B227" s="17"/>
      <c r="C227" s="17"/>
      <c r="D227" s="17"/>
      <c r="E227" s="17"/>
      <c r="F227" s="17"/>
      <c r="G227" s="979" t="s">
        <v>111</v>
      </c>
      <c r="H227" s="979"/>
      <c r="I227" s="1017" t="s">
        <v>112</v>
      </c>
      <c r="J227" s="1018"/>
      <c r="K227" s="979" t="s">
        <v>113</v>
      </c>
      <c r="L227" s="979"/>
      <c r="M227" s="979"/>
      <c r="N227" s="979"/>
      <c r="O227" s="17"/>
      <c r="P227" s="17"/>
      <c r="Q227" s="651"/>
      <c r="R227" s="17"/>
      <c r="S227" s="17"/>
      <c r="T227" s="17"/>
      <c r="U227" s="17"/>
      <c r="V227" s="24"/>
      <c r="W227" s="18"/>
      <c r="X227" s="652"/>
      <c r="Y227" s="17"/>
      <c r="Z227" s="17"/>
      <c r="AA227" s="17"/>
      <c r="AB227" s="17"/>
      <c r="AC227" s="17"/>
      <c r="AD227" s="17"/>
      <c r="AE227" s="17"/>
      <c r="AF227" s="17"/>
      <c r="AG227" s="17"/>
      <c r="AH227" s="17"/>
      <c r="AI227" s="17"/>
      <c r="AJ227" s="17"/>
      <c r="AK227" s="17"/>
      <c r="AL227" s="17"/>
      <c r="AM227" s="17"/>
      <c r="AN227" s="17"/>
      <c r="AO227" s="17"/>
      <c r="AP227" s="17"/>
      <c r="AQ227" s="17"/>
      <c r="AR227" s="17"/>
    </row>
    <row r="228" spans="1:44" ht="25.5" customHeight="1">
      <c r="G228" s="979" t="s">
        <v>114</v>
      </c>
      <c r="H228" s="979"/>
      <c r="I228" s="979" t="s">
        <v>115</v>
      </c>
      <c r="J228" s="979"/>
      <c r="K228" s="979" t="s">
        <v>116</v>
      </c>
      <c r="L228" s="979"/>
      <c r="M228" s="979"/>
      <c r="N228" s="979"/>
    </row>
    <row r="229" spans="1:44">
      <c r="G229" s="19"/>
      <c r="H229" s="17"/>
      <c r="I229" s="17"/>
      <c r="J229" s="17"/>
    </row>
  </sheetData>
  <autoFilter ref="A9:BI217" xr:uid="{00000000-0001-0000-0B00-000000000000}">
    <filterColumn colId="13">
      <filters>
        <filter val="2024003630104"/>
      </filters>
    </filterColumn>
  </autoFilter>
  <mergeCells count="32">
    <mergeCell ref="A1:B6"/>
    <mergeCell ref="C1:AO1"/>
    <mergeCell ref="C2:AO4"/>
    <mergeCell ref="C5:AO6"/>
    <mergeCell ref="A7:B8"/>
    <mergeCell ref="C7:D8"/>
    <mergeCell ref="E7:F8"/>
    <mergeCell ref="G7:H8"/>
    <mergeCell ref="I7:J8"/>
    <mergeCell ref="K7:M8"/>
    <mergeCell ref="AO7:AO9"/>
    <mergeCell ref="N7:Q8"/>
    <mergeCell ref="AP7:AP9"/>
    <mergeCell ref="AQ7:AQ9"/>
    <mergeCell ref="V8:X8"/>
    <mergeCell ref="Y8:Z8"/>
    <mergeCell ref="AA8:AD8"/>
    <mergeCell ref="AE8:AJ8"/>
    <mergeCell ref="AK8:AM8"/>
    <mergeCell ref="AN8:AN9"/>
    <mergeCell ref="Y7:AN7"/>
    <mergeCell ref="K222:Q222"/>
    <mergeCell ref="K223:Q223"/>
    <mergeCell ref="G226:H226"/>
    <mergeCell ref="I226:J226"/>
    <mergeCell ref="K226:N226"/>
    <mergeCell ref="G227:H227"/>
    <mergeCell ref="I227:J227"/>
    <mergeCell ref="K227:N227"/>
    <mergeCell ref="G228:H228"/>
    <mergeCell ref="I228:J228"/>
    <mergeCell ref="K228:N228"/>
  </mergeCells>
  <conditionalFormatting sqref="H213">
    <cfRule type="duplicateValues" dxfId="55" priority="41"/>
    <cfRule type="duplicateValues" dxfId="54" priority="42"/>
    <cfRule type="duplicateValues" dxfId="53" priority="43"/>
    <cfRule type="duplicateValues" dxfId="52" priority="44"/>
  </conditionalFormatting>
  <conditionalFormatting sqref="H214">
    <cfRule type="duplicateValues" dxfId="51" priority="37"/>
    <cfRule type="duplicateValues" dxfId="50" priority="38"/>
    <cfRule type="duplicateValues" dxfId="49" priority="39"/>
    <cfRule type="duplicateValues" dxfId="48" priority="40"/>
  </conditionalFormatting>
  <conditionalFormatting sqref="H215">
    <cfRule type="duplicateValues" dxfId="47" priority="33"/>
    <cfRule type="duplicateValues" dxfId="46" priority="34"/>
    <cfRule type="duplicateValues" dxfId="45" priority="35"/>
    <cfRule type="duplicateValues" dxfId="44" priority="36"/>
  </conditionalFormatting>
  <conditionalFormatting sqref="H216">
    <cfRule type="duplicateValues" dxfId="43" priority="29"/>
    <cfRule type="duplicateValues" dxfId="42" priority="30"/>
    <cfRule type="duplicateValues" dxfId="41" priority="31"/>
    <cfRule type="duplicateValues" dxfId="40" priority="32"/>
  </conditionalFormatting>
  <conditionalFormatting sqref="J144:J147">
    <cfRule type="duplicateValues" dxfId="39" priority="25"/>
    <cfRule type="duplicateValues" dxfId="38" priority="26"/>
    <cfRule type="duplicateValues" dxfId="37" priority="27"/>
    <cfRule type="duplicateValues" dxfId="36" priority="28"/>
  </conditionalFormatting>
  <conditionalFormatting sqref="J148:J149">
    <cfRule type="duplicateValues" dxfId="35" priority="21"/>
    <cfRule type="duplicateValues" dxfId="34" priority="22"/>
    <cfRule type="duplicateValues" dxfId="33" priority="23"/>
    <cfRule type="duplicateValues" dxfId="32" priority="24"/>
  </conditionalFormatting>
  <conditionalFormatting sqref="J158:J160">
    <cfRule type="duplicateValues" dxfId="31" priority="17"/>
    <cfRule type="duplicateValues" dxfId="30" priority="18"/>
    <cfRule type="duplicateValues" dxfId="29" priority="19"/>
    <cfRule type="duplicateValues" dxfId="28" priority="20"/>
  </conditionalFormatting>
  <conditionalFormatting sqref="J213">
    <cfRule type="duplicateValues" dxfId="27" priority="13"/>
    <cfRule type="duplicateValues" dxfId="26" priority="14"/>
    <cfRule type="duplicateValues" dxfId="25" priority="15"/>
    <cfRule type="duplicateValues" dxfId="24" priority="16"/>
  </conditionalFormatting>
  <conditionalFormatting sqref="J214">
    <cfRule type="duplicateValues" dxfId="23" priority="9"/>
    <cfRule type="duplicateValues" dxfId="22" priority="10"/>
    <cfRule type="duplicateValues" dxfId="21" priority="11"/>
    <cfRule type="duplicateValues" dxfId="20" priority="12"/>
  </conditionalFormatting>
  <conditionalFormatting sqref="J215">
    <cfRule type="duplicateValues" dxfId="19" priority="5"/>
    <cfRule type="duplicateValues" dxfId="18" priority="6"/>
    <cfRule type="duplicateValues" dxfId="17" priority="7"/>
    <cfRule type="duplicateValues" dxfId="16" priority="8"/>
  </conditionalFormatting>
  <conditionalFormatting sqref="J216">
    <cfRule type="duplicateValues" dxfId="15" priority="1"/>
    <cfRule type="duplicateValues" dxfId="14" priority="2"/>
    <cfRule type="duplicateValues" dxfId="13" priority="3"/>
    <cfRule type="duplicateValues" dxfId="12" priority="4"/>
  </conditionalFormatting>
  <pageMargins left="0.25" right="0.25" top="0.75" bottom="0.75" header="0.3" footer="0.3"/>
  <pageSetup scale="22" fitToHeight="6" orientation="portrait" r:id="rId1"/>
  <ignoredErrors>
    <ignoredError sqref="N10:N19" numberStoredAsText="1"/>
  </ignoredErrors>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BC47"/>
  <sheetViews>
    <sheetView zoomScale="55" zoomScaleNormal="55" zoomScaleSheetLayoutView="70" workbookViewId="0">
      <selection activeCell="O16" sqref="O16"/>
    </sheetView>
  </sheetViews>
  <sheetFormatPr defaultColWidth="11.42578125" defaultRowHeight="33" customHeight="1"/>
  <cols>
    <col min="1" max="1" width="16.85546875" style="118" customWidth="1"/>
    <col min="2" max="2" width="20.85546875" style="118" customWidth="1"/>
    <col min="3" max="3" width="13.7109375" style="118" customWidth="1"/>
    <col min="4" max="4" width="19.7109375" style="118" bestFit="1" customWidth="1"/>
    <col min="5" max="5" width="10.85546875" style="118" customWidth="1"/>
    <col min="6" max="6" width="19.7109375" style="118" bestFit="1" customWidth="1"/>
    <col min="7" max="8" width="19.140625" style="118" customWidth="1"/>
    <col min="9" max="9" width="20" style="118" customWidth="1"/>
    <col min="10" max="10" width="19" style="118" customWidth="1"/>
    <col min="11" max="11" width="19.28515625" style="118" customWidth="1"/>
    <col min="12" max="12" width="20.140625" style="544" bestFit="1" customWidth="1"/>
    <col min="13" max="13" width="34.140625" style="118" customWidth="1"/>
    <col min="14" max="14" width="29.85546875" style="545" customWidth="1"/>
    <col min="15" max="15" width="25.85546875" style="118" customWidth="1"/>
    <col min="16" max="16" width="49" style="118" bestFit="1" customWidth="1"/>
    <col min="17" max="17" width="22.28515625" style="118" customWidth="1"/>
    <col min="18" max="18" width="25.42578125" style="118" customWidth="1"/>
    <col min="19" max="19" width="7.7109375" style="118" bestFit="1" customWidth="1"/>
    <col min="20" max="20" width="7.42578125" style="118" bestFit="1" customWidth="1"/>
    <col min="21" max="21" width="9.28515625" style="118" customWidth="1"/>
    <col min="22" max="22" width="7.42578125" style="118" customWidth="1"/>
    <col min="23" max="23" width="9.42578125" style="118" customWidth="1"/>
    <col min="24" max="24" width="8.42578125" style="118" customWidth="1"/>
    <col min="25" max="25" width="5.28515625" style="118" customWidth="1"/>
    <col min="26" max="26" width="5.42578125" style="118" customWidth="1"/>
    <col min="27" max="27" width="6.7109375" style="118" customWidth="1"/>
    <col min="28" max="28" width="6.42578125" style="118" customWidth="1"/>
    <col min="29" max="29" width="6.28515625" style="118" customWidth="1"/>
    <col min="30" max="30" width="6.42578125" style="118" customWidth="1"/>
    <col min="31" max="31" width="6.7109375" style="118" customWidth="1"/>
    <col min="32" max="32" width="5.7109375" style="118" customWidth="1"/>
    <col min="33" max="33" width="5.140625" style="118" bestFit="1" customWidth="1"/>
    <col min="34" max="34" width="8" style="118" customWidth="1"/>
    <col min="35" max="35" width="14.28515625" style="118" customWidth="1"/>
    <col min="36" max="36" width="14.42578125" style="118" customWidth="1"/>
    <col min="37" max="37" width="15.140625" style="118" customWidth="1"/>
    <col min="38" max="16384" width="11.42578125" style="118"/>
  </cols>
  <sheetData>
    <row r="1" spans="1:55" ht="33" customHeight="1">
      <c r="A1" s="1100"/>
      <c r="B1" s="1101"/>
      <c r="C1" s="1102" t="s">
        <v>0</v>
      </c>
      <c r="D1" s="1103"/>
      <c r="E1" s="1103"/>
      <c r="F1" s="1103"/>
      <c r="G1" s="1103"/>
      <c r="H1" s="1103"/>
      <c r="I1" s="1103"/>
      <c r="J1" s="1103"/>
      <c r="K1" s="1103"/>
      <c r="L1" s="1103"/>
      <c r="M1" s="1103"/>
      <c r="N1" s="1103"/>
      <c r="O1" s="1103"/>
      <c r="P1" s="1103"/>
      <c r="Q1" s="1103"/>
      <c r="R1" s="1103"/>
      <c r="S1" s="1103"/>
      <c r="T1" s="1103"/>
      <c r="U1" s="1103"/>
      <c r="V1" s="1103"/>
      <c r="W1" s="1103"/>
      <c r="X1" s="1103"/>
      <c r="Y1" s="1103"/>
      <c r="Z1" s="1103"/>
      <c r="AA1" s="1103"/>
      <c r="AB1" s="1103"/>
      <c r="AC1" s="1103"/>
      <c r="AD1" s="1103"/>
      <c r="AE1" s="1103"/>
      <c r="AF1" s="1103"/>
      <c r="AG1" s="1103"/>
      <c r="AH1" s="1103"/>
      <c r="AI1" s="1104"/>
    </row>
    <row r="2" spans="1:55" s="2" customFormat="1" ht="18.600000000000001" customHeight="1">
      <c r="A2" s="1100"/>
      <c r="B2" s="1101"/>
      <c r="C2" s="1116" t="s">
        <v>2275</v>
      </c>
      <c r="D2" s="1117"/>
      <c r="E2" s="1117"/>
      <c r="F2" s="1117"/>
      <c r="G2" s="1117"/>
      <c r="H2" s="1117"/>
      <c r="I2" s="1117"/>
      <c r="J2" s="1117"/>
      <c r="K2" s="1117"/>
      <c r="L2" s="1117"/>
      <c r="M2" s="1117"/>
      <c r="N2" s="1117"/>
      <c r="O2" s="1117"/>
      <c r="P2" s="1117"/>
      <c r="Q2" s="1117"/>
      <c r="R2" s="1117"/>
      <c r="S2" s="1117"/>
      <c r="T2" s="1117"/>
      <c r="U2" s="1117"/>
      <c r="V2" s="1117"/>
      <c r="W2" s="1117"/>
      <c r="X2" s="1117"/>
      <c r="Y2" s="1117"/>
      <c r="Z2" s="1117"/>
      <c r="AA2" s="1117"/>
      <c r="AB2" s="1117"/>
      <c r="AC2" s="1117"/>
      <c r="AD2" s="1117"/>
      <c r="AE2" s="1117"/>
      <c r="AF2" s="1117"/>
      <c r="AG2" s="1117"/>
      <c r="AH2" s="1117"/>
      <c r="AI2" s="1118"/>
      <c r="AJ2" s="25" t="s">
        <v>2</v>
      </c>
      <c r="AK2" s="957" t="s">
        <v>3</v>
      </c>
      <c r="AL2" s="1"/>
      <c r="AM2" s="1"/>
      <c r="AN2" s="1"/>
      <c r="AO2" s="1"/>
      <c r="AP2" s="1"/>
      <c r="AQ2" s="1"/>
      <c r="AR2" s="1"/>
      <c r="AS2" s="1"/>
      <c r="AT2" s="1"/>
      <c r="AU2" s="1"/>
      <c r="AV2" s="1"/>
      <c r="AW2" s="1"/>
      <c r="AX2" s="1"/>
      <c r="AY2" s="1"/>
      <c r="AZ2" s="1"/>
      <c r="BA2" s="1"/>
      <c r="BB2" s="1"/>
      <c r="BC2" s="1"/>
    </row>
    <row r="3" spans="1:55" s="2" customFormat="1" ht="9.6" customHeight="1">
      <c r="A3" s="1100"/>
      <c r="B3" s="1101"/>
      <c r="C3" s="1119"/>
      <c r="D3" s="1025"/>
      <c r="E3" s="1025"/>
      <c r="F3" s="1025"/>
      <c r="G3" s="1025"/>
      <c r="H3" s="1025"/>
      <c r="I3" s="1025"/>
      <c r="J3" s="1025"/>
      <c r="K3" s="1025"/>
      <c r="L3" s="1025"/>
      <c r="M3" s="1025"/>
      <c r="N3" s="1025"/>
      <c r="O3" s="1025"/>
      <c r="P3" s="1025"/>
      <c r="Q3" s="1025"/>
      <c r="R3" s="1025"/>
      <c r="S3" s="1025"/>
      <c r="T3" s="1025"/>
      <c r="U3" s="1025"/>
      <c r="V3" s="1025"/>
      <c r="W3" s="1025"/>
      <c r="X3" s="1025"/>
      <c r="Y3" s="1025"/>
      <c r="Z3" s="1025"/>
      <c r="AA3" s="1025"/>
      <c r="AB3" s="1025"/>
      <c r="AC3" s="1025"/>
      <c r="AD3" s="1025"/>
      <c r="AE3" s="1025"/>
      <c r="AF3" s="1025"/>
      <c r="AG3" s="1025"/>
      <c r="AH3" s="1025"/>
      <c r="AI3" s="1026"/>
      <c r="AJ3" s="42" t="s">
        <v>4</v>
      </c>
      <c r="AK3" s="40">
        <v>14</v>
      </c>
      <c r="AL3" s="1"/>
      <c r="AM3" s="1"/>
      <c r="AN3" s="1"/>
      <c r="AO3" s="1"/>
      <c r="AP3" s="1"/>
      <c r="AQ3" s="1"/>
      <c r="AR3" s="1"/>
      <c r="AS3" s="1"/>
      <c r="AT3" s="1"/>
      <c r="AU3" s="1"/>
      <c r="AV3" s="1"/>
      <c r="AW3" s="1"/>
      <c r="AX3" s="1"/>
      <c r="AY3" s="1"/>
      <c r="AZ3" s="1"/>
      <c r="BA3" s="1"/>
      <c r="BB3" s="1"/>
      <c r="BC3" s="1"/>
    </row>
    <row r="4" spans="1:55" s="2" customFormat="1" ht="14.45" customHeight="1">
      <c r="A4" s="1100"/>
      <c r="B4" s="1101"/>
      <c r="C4" s="1120"/>
      <c r="D4" s="1121"/>
      <c r="E4" s="1121"/>
      <c r="F4" s="1121"/>
      <c r="G4" s="1121"/>
      <c r="H4" s="1121"/>
      <c r="I4" s="1121"/>
      <c r="J4" s="1121"/>
      <c r="K4" s="1121"/>
      <c r="L4" s="1121"/>
      <c r="M4" s="1121"/>
      <c r="N4" s="1121"/>
      <c r="O4" s="1121"/>
      <c r="P4" s="1121"/>
      <c r="Q4" s="1121"/>
      <c r="R4" s="1121"/>
      <c r="S4" s="1121"/>
      <c r="T4" s="1121"/>
      <c r="U4" s="1121"/>
      <c r="V4" s="1121"/>
      <c r="W4" s="1121"/>
      <c r="X4" s="1121"/>
      <c r="Y4" s="1121"/>
      <c r="Z4" s="1121"/>
      <c r="AA4" s="1121"/>
      <c r="AB4" s="1121"/>
      <c r="AC4" s="1121"/>
      <c r="AD4" s="1121"/>
      <c r="AE4" s="1121"/>
      <c r="AF4" s="1121"/>
      <c r="AG4" s="1121"/>
      <c r="AH4" s="1121"/>
      <c r="AI4" s="1122"/>
      <c r="AJ4" s="42" t="s">
        <v>5</v>
      </c>
      <c r="AK4" s="41">
        <v>45884</v>
      </c>
      <c r="AL4" s="1"/>
      <c r="AM4" s="1"/>
      <c r="AN4" s="1"/>
      <c r="AO4" s="1"/>
      <c r="AP4" s="1"/>
      <c r="AQ4" s="1"/>
      <c r="AR4" s="1"/>
      <c r="AS4" s="1"/>
      <c r="AT4" s="1"/>
      <c r="AU4" s="1"/>
      <c r="AV4" s="1"/>
      <c r="AW4" s="1"/>
      <c r="AX4" s="1"/>
      <c r="AY4" s="1"/>
      <c r="AZ4" s="1"/>
      <c r="BA4" s="1"/>
      <c r="BB4" s="1"/>
      <c r="BC4" s="1"/>
    </row>
    <row r="5" spans="1:55" s="2" customFormat="1" ht="14.45" customHeight="1">
      <c r="A5" s="1100"/>
      <c r="B5" s="1101"/>
      <c r="C5" s="1105" t="s">
        <v>2276</v>
      </c>
      <c r="D5" s="1106"/>
      <c r="E5" s="1106"/>
      <c r="F5" s="1106"/>
      <c r="G5" s="1106"/>
      <c r="H5" s="1106"/>
      <c r="I5" s="1106"/>
      <c r="J5" s="1106"/>
      <c r="K5" s="1106"/>
      <c r="L5" s="1106"/>
      <c r="M5" s="1106"/>
      <c r="N5" s="1106"/>
      <c r="O5" s="1106"/>
      <c r="P5" s="1106"/>
      <c r="Q5" s="1106"/>
      <c r="R5" s="1106"/>
      <c r="S5" s="1106"/>
      <c r="T5" s="1106"/>
      <c r="U5" s="1106"/>
      <c r="V5" s="1106"/>
      <c r="W5" s="1106"/>
      <c r="X5" s="1106"/>
      <c r="Y5" s="1106"/>
      <c r="Z5" s="1106"/>
      <c r="AA5" s="1106"/>
      <c r="AB5" s="1106"/>
      <c r="AC5" s="1106"/>
      <c r="AD5" s="1106"/>
      <c r="AE5" s="1106"/>
      <c r="AF5" s="1106"/>
      <c r="AG5" s="1106"/>
      <c r="AH5" s="1106"/>
      <c r="AI5" s="1107"/>
      <c r="AJ5" s="25" t="s">
        <v>7</v>
      </c>
      <c r="AK5" s="3" t="s">
        <v>8</v>
      </c>
      <c r="AL5" s="1"/>
      <c r="AM5" s="1"/>
      <c r="AN5" s="1"/>
      <c r="AO5" s="1"/>
      <c r="AP5" s="1"/>
      <c r="AQ5" s="1"/>
      <c r="AR5" s="1"/>
      <c r="AS5" s="1"/>
      <c r="AT5" s="1"/>
      <c r="AU5" s="1"/>
      <c r="AV5" s="1"/>
      <c r="AW5" s="1"/>
      <c r="AX5" s="1"/>
      <c r="AY5" s="1"/>
      <c r="AZ5" s="1"/>
      <c r="BA5" s="1"/>
      <c r="BB5" s="1"/>
      <c r="BC5" s="1"/>
    </row>
    <row r="6" spans="1:55" s="2" customFormat="1" ht="15" customHeight="1">
      <c r="A6" s="1100"/>
      <c r="B6" s="1101"/>
      <c r="C6" s="1108"/>
      <c r="D6" s="1109"/>
      <c r="E6" s="1109"/>
      <c r="F6" s="1109"/>
      <c r="G6" s="1109"/>
      <c r="H6" s="1109"/>
      <c r="I6" s="1109"/>
      <c r="J6" s="1109"/>
      <c r="K6" s="1109"/>
      <c r="L6" s="1109"/>
      <c r="M6" s="1109"/>
      <c r="N6" s="1109"/>
      <c r="O6" s="1109"/>
      <c r="P6" s="1109"/>
      <c r="Q6" s="1109"/>
      <c r="R6" s="1109"/>
      <c r="S6" s="1109"/>
      <c r="T6" s="1109"/>
      <c r="U6" s="1109"/>
      <c r="V6" s="1109"/>
      <c r="W6" s="1109"/>
      <c r="X6" s="1109"/>
      <c r="Y6" s="1109"/>
      <c r="Z6" s="1109"/>
      <c r="AA6" s="1109"/>
      <c r="AB6" s="1109"/>
      <c r="AC6" s="1109"/>
      <c r="AD6" s="1109"/>
      <c r="AE6" s="1109"/>
      <c r="AF6" s="1109"/>
      <c r="AG6" s="1109"/>
      <c r="AH6" s="1109"/>
      <c r="AI6" s="1110"/>
      <c r="AJ6" s="4"/>
      <c r="AK6" s="5"/>
      <c r="AL6" s="1"/>
      <c r="AM6" s="1"/>
      <c r="AN6" s="1"/>
      <c r="AO6" s="1"/>
      <c r="AP6" s="1"/>
      <c r="AQ6" s="1"/>
      <c r="AR6" s="1"/>
      <c r="AS6" s="1"/>
      <c r="AT6" s="1"/>
      <c r="AU6" s="1"/>
      <c r="AV6" s="1"/>
      <c r="AW6" s="1"/>
      <c r="AX6" s="1"/>
      <c r="AY6" s="1"/>
      <c r="AZ6" s="1"/>
      <c r="BA6" s="1"/>
      <c r="BB6" s="1"/>
      <c r="BC6" s="1"/>
    </row>
    <row r="7" spans="1:55" ht="33" customHeight="1">
      <c r="A7" s="1006" t="s">
        <v>9</v>
      </c>
      <c r="B7" s="1007"/>
      <c r="C7" s="1006" t="s">
        <v>10</v>
      </c>
      <c r="D7" s="1010"/>
      <c r="E7" s="1006" t="s">
        <v>11</v>
      </c>
      <c r="F7" s="1010"/>
      <c r="G7" s="1006" t="s">
        <v>12</v>
      </c>
      <c r="H7" s="1010"/>
      <c r="I7" s="1111" t="s">
        <v>13</v>
      </c>
      <c r="J7" s="1112"/>
      <c r="K7" s="1115" t="s">
        <v>14</v>
      </c>
      <c r="L7" s="1015" t="s">
        <v>15</v>
      </c>
      <c r="M7" s="1015"/>
      <c r="N7" s="1015"/>
      <c r="O7" s="1015"/>
      <c r="P7" s="511"/>
      <c r="Q7" s="511"/>
      <c r="R7" s="512"/>
      <c r="S7" s="998" t="s">
        <v>16</v>
      </c>
      <c r="T7" s="999"/>
      <c r="U7" s="999"/>
      <c r="V7" s="999"/>
      <c r="W7" s="999"/>
      <c r="X7" s="999"/>
      <c r="Y7" s="999"/>
      <c r="Z7" s="999"/>
      <c r="AA7" s="999"/>
      <c r="AB7" s="999"/>
      <c r="AC7" s="999"/>
      <c r="AD7" s="999"/>
      <c r="AE7" s="999"/>
      <c r="AF7" s="999"/>
      <c r="AG7" s="999"/>
      <c r="AH7" s="1000"/>
      <c r="AI7" s="987" t="s">
        <v>17</v>
      </c>
      <c r="AJ7" s="987" t="s">
        <v>18</v>
      </c>
      <c r="AK7" s="987" t="s">
        <v>19</v>
      </c>
    </row>
    <row r="8" spans="1:55" s="9" customFormat="1" ht="33" customHeight="1">
      <c r="A8" s="1008"/>
      <c r="B8" s="1009"/>
      <c r="C8" s="1008"/>
      <c r="D8" s="1011"/>
      <c r="E8" s="1008"/>
      <c r="F8" s="1011"/>
      <c r="G8" s="1008"/>
      <c r="H8" s="1011"/>
      <c r="I8" s="1113"/>
      <c r="J8" s="1114"/>
      <c r="K8" s="1115"/>
      <c r="L8" s="1016"/>
      <c r="M8" s="1016"/>
      <c r="N8" s="1016"/>
      <c r="O8" s="1016"/>
      <c r="P8" s="990" t="s">
        <v>20</v>
      </c>
      <c r="Q8" s="991"/>
      <c r="R8" s="992"/>
      <c r="S8" s="993" t="s">
        <v>21</v>
      </c>
      <c r="T8" s="994"/>
      <c r="U8" s="995" t="s">
        <v>22</v>
      </c>
      <c r="V8" s="994"/>
      <c r="W8" s="994"/>
      <c r="X8" s="994"/>
      <c r="Y8" s="996" t="s">
        <v>23</v>
      </c>
      <c r="Z8" s="994"/>
      <c r="AA8" s="994"/>
      <c r="AB8" s="994"/>
      <c r="AC8" s="994"/>
      <c r="AD8" s="994"/>
      <c r="AE8" s="995" t="s">
        <v>24</v>
      </c>
      <c r="AF8" s="994"/>
      <c r="AG8" s="994"/>
      <c r="AH8" s="997" t="s">
        <v>25</v>
      </c>
      <c r="AI8" s="988"/>
      <c r="AJ8" s="988"/>
      <c r="AK8" s="988"/>
      <c r="AL8" s="8"/>
      <c r="AM8" s="8"/>
      <c r="AN8" s="8"/>
      <c r="AO8" s="8"/>
      <c r="AP8" s="8"/>
      <c r="AQ8" s="8"/>
      <c r="AR8" s="8"/>
      <c r="AS8" s="8"/>
      <c r="AT8" s="8"/>
      <c r="AU8" s="8"/>
      <c r="AV8" s="8"/>
      <c r="AW8" s="8"/>
      <c r="AX8" s="8"/>
      <c r="AY8" s="8"/>
      <c r="AZ8" s="8"/>
    </row>
    <row r="9" spans="1:55" s="16" customFormat="1" ht="33" customHeight="1">
      <c r="A9" s="10" t="s">
        <v>26</v>
      </c>
      <c r="B9" s="10" t="s">
        <v>27</v>
      </c>
      <c r="C9" s="10" t="s">
        <v>28</v>
      </c>
      <c r="D9" s="11" t="s">
        <v>29</v>
      </c>
      <c r="E9" s="11" t="s">
        <v>28</v>
      </c>
      <c r="F9" s="11" t="s">
        <v>29</v>
      </c>
      <c r="G9" s="12" t="s">
        <v>26</v>
      </c>
      <c r="H9" s="12" t="s">
        <v>29</v>
      </c>
      <c r="I9" s="12" t="s">
        <v>30</v>
      </c>
      <c r="J9" s="12" t="s">
        <v>31</v>
      </c>
      <c r="K9" s="12" t="s">
        <v>32</v>
      </c>
      <c r="L9" s="12" t="s">
        <v>34</v>
      </c>
      <c r="M9" s="12" t="s">
        <v>35</v>
      </c>
      <c r="N9" s="11" t="s">
        <v>36</v>
      </c>
      <c r="O9" s="13" t="s">
        <v>37</v>
      </c>
      <c r="P9" s="10" t="s">
        <v>42</v>
      </c>
      <c r="Q9" s="11" t="s">
        <v>26</v>
      </c>
      <c r="R9" s="11" t="s">
        <v>27</v>
      </c>
      <c r="S9" s="14" t="s">
        <v>43</v>
      </c>
      <c r="T9" s="15" t="s">
        <v>44</v>
      </c>
      <c r="U9" s="14" t="s">
        <v>45</v>
      </c>
      <c r="V9" s="14" t="s">
        <v>46</v>
      </c>
      <c r="W9" s="14" t="s">
        <v>47</v>
      </c>
      <c r="X9" s="14" t="s">
        <v>48</v>
      </c>
      <c r="Y9" s="14" t="s">
        <v>49</v>
      </c>
      <c r="Z9" s="14" t="s">
        <v>50</v>
      </c>
      <c r="AA9" s="14" t="s">
        <v>51</v>
      </c>
      <c r="AB9" s="14" t="s">
        <v>52</v>
      </c>
      <c r="AC9" s="14" t="s">
        <v>53</v>
      </c>
      <c r="AD9" s="14" t="s">
        <v>54</v>
      </c>
      <c r="AE9" s="14" t="s">
        <v>55</v>
      </c>
      <c r="AF9" s="14" t="s">
        <v>56</v>
      </c>
      <c r="AG9" s="14" t="s">
        <v>57</v>
      </c>
      <c r="AH9" s="997"/>
      <c r="AI9" s="989"/>
      <c r="AJ9" s="989"/>
      <c r="AK9" s="989"/>
      <c r="AL9" s="8"/>
      <c r="AM9" s="8"/>
      <c r="AN9" s="8"/>
      <c r="AO9" s="8"/>
      <c r="AP9" s="8"/>
      <c r="AQ9" s="8"/>
      <c r="AR9" s="8"/>
      <c r="AS9" s="8"/>
      <c r="AT9" s="8"/>
      <c r="AU9" s="8"/>
      <c r="AV9" s="8"/>
      <c r="AW9" s="8"/>
      <c r="AX9" s="8"/>
      <c r="AY9" s="8"/>
      <c r="AZ9" s="8"/>
    </row>
    <row r="10" spans="1:55" ht="60" customHeight="1">
      <c r="A10" s="513">
        <v>1</v>
      </c>
      <c r="B10" s="514" t="s">
        <v>2277</v>
      </c>
      <c r="C10" s="513">
        <v>43</v>
      </c>
      <c r="D10" s="513" t="s">
        <v>2278</v>
      </c>
      <c r="E10" s="113">
        <v>4301</v>
      </c>
      <c r="F10" s="127" t="s">
        <v>2279</v>
      </c>
      <c r="G10" s="113">
        <v>4301004</v>
      </c>
      <c r="H10" s="127" t="s">
        <v>2280</v>
      </c>
      <c r="I10" s="515">
        <v>430100400</v>
      </c>
      <c r="J10" s="516" t="s">
        <v>2281</v>
      </c>
      <c r="K10" s="517">
        <v>14</v>
      </c>
      <c r="L10" s="518">
        <v>2024003630012</v>
      </c>
      <c r="M10" s="519" t="s">
        <v>2282</v>
      </c>
      <c r="N10" s="116" t="s">
        <v>2283</v>
      </c>
      <c r="O10" s="520">
        <v>805000000</v>
      </c>
      <c r="P10" s="521" t="s">
        <v>2284</v>
      </c>
      <c r="Q10" s="521">
        <v>3</v>
      </c>
      <c r="R10" s="521" t="s">
        <v>2285</v>
      </c>
      <c r="S10" s="522">
        <v>13914</v>
      </c>
      <c r="T10" s="522">
        <v>12884</v>
      </c>
      <c r="U10" s="522">
        <v>4668</v>
      </c>
      <c r="V10" s="522">
        <v>3760</v>
      </c>
      <c r="W10" s="522">
        <v>14596</v>
      </c>
      <c r="X10" s="522">
        <v>3822</v>
      </c>
      <c r="Y10" s="522">
        <v>224</v>
      </c>
      <c r="Z10" s="522">
        <v>6</v>
      </c>
      <c r="AA10" s="522">
        <v>0</v>
      </c>
      <c r="AB10" s="522">
        <v>0</v>
      </c>
      <c r="AC10" s="522">
        <v>0</v>
      </c>
      <c r="AD10" s="522">
        <v>0</v>
      </c>
      <c r="AE10" s="522">
        <v>3100</v>
      </c>
      <c r="AF10" s="522">
        <v>2</v>
      </c>
      <c r="AG10" s="522">
        <v>438</v>
      </c>
      <c r="AH10" s="522">
        <f t="shared" ref="AH10:AH19" si="0">SUM(S10:T10)</f>
        <v>26798</v>
      </c>
      <c r="AI10" s="523">
        <v>46023</v>
      </c>
      <c r="AJ10" s="523">
        <v>46387</v>
      </c>
      <c r="AK10" s="524" t="s">
        <v>2286</v>
      </c>
    </row>
    <row r="11" spans="1:55" ht="60" customHeight="1">
      <c r="A11" s="513">
        <v>1</v>
      </c>
      <c r="B11" s="514" t="s">
        <v>2277</v>
      </c>
      <c r="C11" s="513">
        <v>43</v>
      </c>
      <c r="D11" s="513" t="s">
        <v>2278</v>
      </c>
      <c r="E11" s="113">
        <v>4301</v>
      </c>
      <c r="F11" s="127" t="s">
        <v>2279</v>
      </c>
      <c r="G11" s="113">
        <v>4301004</v>
      </c>
      <c r="H11" s="127" t="s">
        <v>2280</v>
      </c>
      <c r="I11" s="515">
        <v>430100400</v>
      </c>
      <c r="J11" s="516" t="s">
        <v>2281</v>
      </c>
      <c r="K11" s="517">
        <v>14</v>
      </c>
      <c r="L11" s="518">
        <v>2024003630012</v>
      </c>
      <c r="M11" s="519" t="s">
        <v>2282</v>
      </c>
      <c r="N11" s="116" t="s">
        <v>2287</v>
      </c>
      <c r="O11" s="520">
        <v>345000000</v>
      </c>
      <c r="P11" s="521" t="s">
        <v>2288</v>
      </c>
      <c r="Q11" s="521">
        <v>3</v>
      </c>
      <c r="R11" s="521" t="s">
        <v>2285</v>
      </c>
      <c r="S11" s="522">
        <v>13914</v>
      </c>
      <c r="T11" s="522">
        <v>12884</v>
      </c>
      <c r="U11" s="522">
        <v>4668</v>
      </c>
      <c r="V11" s="522">
        <v>3760</v>
      </c>
      <c r="W11" s="522">
        <v>14596</v>
      </c>
      <c r="X11" s="522">
        <v>3822</v>
      </c>
      <c r="Y11" s="522">
        <v>224</v>
      </c>
      <c r="Z11" s="522">
        <v>6</v>
      </c>
      <c r="AA11" s="522">
        <v>0</v>
      </c>
      <c r="AB11" s="522">
        <v>0</v>
      </c>
      <c r="AC11" s="522">
        <v>0</v>
      </c>
      <c r="AD11" s="522">
        <v>0</v>
      </c>
      <c r="AE11" s="522">
        <v>3100</v>
      </c>
      <c r="AF11" s="522">
        <v>2</v>
      </c>
      <c r="AG11" s="522">
        <v>438</v>
      </c>
      <c r="AH11" s="522">
        <f t="shared" si="0"/>
        <v>26798</v>
      </c>
      <c r="AI11" s="523">
        <v>46023</v>
      </c>
      <c r="AJ11" s="523">
        <v>46387</v>
      </c>
      <c r="AK11" s="524" t="s">
        <v>2286</v>
      </c>
    </row>
    <row r="12" spans="1:55" ht="60" customHeight="1">
      <c r="A12" s="513">
        <v>1</v>
      </c>
      <c r="B12" s="514" t="s">
        <v>2277</v>
      </c>
      <c r="C12" s="513">
        <v>43</v>
      </c>
      <c r="D12" s="513" t="s">
        <v>2278</v>
      </c>
      <c r="E12" s="113">
        <v>4301</v>
      </c>
      <c r="F12" s="127" t="s">
        <v>2279</v>
      </c>
      <c r="G12" s="113">
        <v>4301031</v>
      </c>
      <c r="H12" s="127" t="s">
        <v>2289</v>
      </c>
      <c r="I12" s="113">
        <v>430103100</v>
      </c>
      <c r="J12" s="127" t="s">
        <v>2290</v>
      </c>
      <c r="K12" s="100">
        <v>1</v>
      </c>
      <c r="L12" s="518">
        <v>2024003630012</v>
      </c>
      <c r="M12" s="519" t="s">
        <v>2282</v>
      </c>
      <c r="N12" s="525" t="s">
        <v>2291</v>
      </c>
      <c r="O12" s="520">
        <v>150000000</v>
      </c>
      <c r="P12" s="521" t="s">
        <v>2292</v>
      </c>
      <c r="Q12" s="521">
        <v>3</v>
      </c>
      <c r="R12" s="521" t="s">
        <v>2285</v>
      </c>
      <c r="S12" s="522">
        <v>13914</v>
      </c>
      <c r="T12" s="522">
        <v>12884</v>
      </c>
      <c r="U12" s="522">
        <v>4668</v>
      </c>
      <c r="V12" s="522">
        <v>3760</v>
      </c>
      <c r="W12" s="522">
        <v>14596</v>
      </c>
      <c r="X12" s="522">
        <v>3822</v>
      </c>
      <c r="Y12" s="522">
        <v>224</v>
      </c>
      <c r="Z12" s="522">
        <v>6</v>
      </c>
      <c r="AA12" s="522">
        <v>0</v>
      </c>
      <c r="AB12" s="522">
        <v>0</v>
      </c>
      <c r="AC12" s="522">
        <v>0</v>
      </c>
      <c r="AD12" s="522">
        <v>0</v>
      </c>
      <c r="AE12" s="522">
        <v>3100</v>
      </c>
      <c r="AF12" s="522">
        <v>2</v>
      </c>
      <c r="AG12" s="522">
        <v>438</v>
      </c>
      <c r="AH12" s="522">
        <f t="shared" si="0"/>
        <v>26798</v>
      </c>
      <c r="AI12" s="523">
        <v>46023</v>
      </c>
      <c r="AJ12" s="523">
        <v>46387</v>
      </c>
      <c r="AK12" s="524" t="s">
        <v>2286</v>
      </c>
    </row>
    <row r="13" spans="1:55" ht="60" customHeight="1">
      <c r="A13" s="513">
        <v>1</v>
      </c>
      <c r="B13" s="514" t="s">
        <v>2277</v>
      </c>
      <c r="C13" s="526">
        <v>22</v>
      </c>
      <c r="D13" s="526" t="s">
        <v>378</v>
      </c>
      <c r="E13" s="527">
        <v>2201</v>
      </c>
      <c r="F13" s="528" t="s">
        <v>379</v>
      </c>
      <c r="G13" s="527">
        <v>2201062</v>
      </c>
      <c r="H13" s="528" t="s">
        <v>1161</v>
      </c>
      <c r="I13" s="529">
        <v>220106200</v>
      </c>
      <c r="J13" s="516" t="s">
        <v>1162</v>
      </c>
      <c r="K13" s="517">
        <v>10</v>
      </c>
      <c r="L13" s="518">
        <v>2024003630011</v>
      </c>
      <c r="M13" s="519" t="s">
        <v>2293</v>
      </c>
      <c r="N13" s="519" t="s">
        <v>2294</v>
      </c>
      <c r="O13" s="520">
        <v>1003690906.4</v>
      </c>
      <c r="P13" s="521" t="s">
        <v>2295</v>
      </c>
      <c r="Q13" s="521">
        <v>3</v>
      </c>
      <c r="R13" s="521" t="s">
        <v>2285</v>
      </c>
      <c r="S13" s="522">
        <v>2716</v>
      </c>
      <c r="T13" s="522">
        <v>2578</v>
      </c>
      <c r="U13" s="522">
        <v>3586</v>
      </c>
      <c r="V13" s="522">
        <v>2056</v>
      </c>
      <c r="W13" s="522">
        <v>136</v>
      </c>
      <c r="X13" s="522">
        <v>22</v>
      </c>
      <c r="Y13" s="522">
        <v>104</v>
      </c>
      <c r="Z13" s="522">
        <v>36</v>
      </c>
      <c r="AA13" s="522">
        <v>0</v>
      </c>
      <c r="AB13" s="522">
        <v>0</v>
      </c>
      <c r="AC13" s="522">
        <v>0</v>
      </c>
      <c r="AD13" s="522">
        <v>0</v>
      </c>
      <c r="AE13" s="522">
        <v>500</v>
      </c>
      <c r="AF13" s="522">
        <v>216</v>
      </c>
      <c r="AG13" s="522">
        <v>44</v>
      </c>
      <c r="AH13" s="522">
        <f t="shared" si="0"/>
        <v>5294</v>
      </c>
      <c r="AI13" s="523">
        <v>46023</v>
      </c>
      <c r="AJ13" s="523">
        <v>46387</v>
      </c>
      <c r="AK13" s="524" t="s">
        <v>2286</v>
      </c>
    </row>
    <row r="14" spans="1:55" ht="60" customHeight="1">
      <c r="A14" s="513">
        <v>1</v>
      </c>
      <c r="B14" s="514" t="s">
        <v>2277</v>
      </c>
      <c r="C14" s="526">
        <v>22</v>
      </c>
      <c r="D14" s="526" t="s">
        <v>378</v>
      </c>
      <c r="E14" s="527">
        <v>2201</v>
      </c>
      <c r="F14" s="528" t="s">
        <v>379</v>
      </c>
      <c r="G14" s="527">
        <v>2201062</v>
      </c>
      <c r="H14" s="528" t="s">
        <v>1161</v>
      </c>
      <c r="I14" s="529">
        <v>220106200</v>
      </c>
      <c r="J14" s="516" t="s">
        <v>1162</v>
      </c>
      <c r="K14" s="517">
        <v>10</v>
      </c>
      <c r="L14" s="518">
        <v>2024003630011</v>
      </c>
      <c r="M14" s="519" t="s">
        <v>2293</v>
      </c>
      <c r="N14" s="519" t="s">
        <v>2296</v>
      </c>
      <c r="O14" s="520">
        <v>420000000</v>
      </c>
      <c r="P14" s="521" t="s">
        <v>2297</v>
      </c>
      <c r="Q14" s="521">
        <v>3</v>
      </c>
      <c r="R14" s="521" t="s">
        <v>2285</v>
      </c>
      <c r="S14" s="522">
        <v>2716</v>
      </c>
      <c r="T14" s="522">
        <v>2578</v>
      </c>
      <c r="U14" s="522">
        <v>3586</v>
      </c>
      <c r="V14" s="522">
        <v>2056</v>
      </c>
      <c r="W14" s="522">
        <v>136</v>
      </c>
      <c r="X14" s="522">
        <v>22</v>
      </c>
      <c r="Y14" s="522">
        <v>104</v>
      </c>
      <c r="Z14" s="522">
        <v>36</v>
      </c>
      <c r="AA14" s="522">
        <v>0</v>
      </c>
      <c r="AB14" s="522">
        <v>0</v>
      </c>
      <c r="AC14" s="522">
        <v>0</v>
      </c>
      <c r="AD14" s="522">
        <v>0</v>
      </c>
      <c r="AE14" s="522">
        <v>500</v>
      </c>
      <c r="AF14" s="522">
        <v>216</v>
      </c>
      <c r="AG14" s="522">
        <v>44</v>
      </c>
      <c r="AH14" s="522">
        <f t="shared" si="0"/>
        <v>5294</v>
      </c>
      <c r="AI14" s="523">
        <v>46023</v>
      </c>
      <c r="AJ14" s="523">
        <v>46387</v>
      </c>
      <c r="AK14" s="524" t="s">
        <v>2286</v>
      </c>
    </row>
    <row r="15" spans="1:55" ht="60" customHeight="1">
      <c r="A15" s="513">
        <v>1</v>
      </c>
      <c r="B15" s="514" t="s">
        <v>2277</v>
      </c>
      <c r="C15" s="526">
        <v>22</v>
      </c>
      <c r="D15" s="526" t="s">
        <v>378</v>
      </c>
      <c r="E15" s="527">
        <v>2201</v>
      </c>
      <c r="F15" s="528" t="s">
        <v>379</v>
      </c>
      <c r="G15" s="113">
        <v>2201039</v>
      </c>
      <c r="H15" s="127" t="s">
        <v>2298</v>
      </c>
      <c r="I15" s="113">
        <v>220103900</v>
      </c>
      <c r="J15" s="127" t="s">
        <v>2299</v>
      </c>
      <c r="K15" s="100">
        <v>1</v>
      </c>
      <c r="L15" s="518">
        <v>2024003630011</v>
      </c>
      <c r="M15" s="519" t="s">
        <v>2293</v>
      </c>
      <c r="N15" s="116" t="s">
        <v>2300</v>
      </c>
      <c r="O15" s="520">
        <v>150000000</v>
      </c>
      <c r="P15" s="521" t="s">
        <v>2301</v>
      </c>
      <c r="Q15" s="521">
        <v>3</v>
      </c>
      <c r="R15" s="521" t="s">
        <v>2285</v>
      </c>
      <c r="S15" s="522">
        <v>2716</v>
      </c>
      <c r="T15" s="522">
        <v>2578</v>
      </c>
      <c r="U15" s="522">
        <v>3586</v>
      </c>
      <c r="V15" s="522">
        <v>2056</v>
      </c>
      <c r="W15" s="522">
        <v>136</v>
      </c>
      <c r="X15" s="522">
        <v>22</v>
      </c>
      <c r="Y15" s="522">
        <v>104</v>
      </c>
      <c r="Z15" s="522">
        <v>36</v>
      </c>
      <c r="AA15" s="522">
        <v>0</v>
      </c>
      <c r="AB15" s="522">
        <v>0</v>
      </c>
      <c r="AC15" s="522">
        <v>0</v>
      </c>
      <c r="AD15" s="522">
        <v>0</v>
      </c>
      <c r="AE15" s="522">
        <v>500</v>
      </c>
      <c r="AF15" s="522">
        <v>216</v>
      </c>
      <c r="AG15" s="522">
        <v>44</v>
      </c>
      <c r="AH15" s="522">
        <f t="shared" si="0"/>
        <v>5294</v>
      </c>
      <c r="AI15" s="523">
        <v>46023</v>
      </c>
      <c r="AJ15" s="523">
        <v>46387</v>
      </c>
      <c r="AK15" s="524" t="s">
        <v>2286</v>
      </c>
    </row>
    <row r="16" spans="1:55" ht="60" customHeight="1">
      <c r="A16" s="513">
        <v>3</v>
      </c>
      <c r="B16" s="514" t="s">
        <v>2302</v>
      </c>
      <c r="C16" s="513">
        <v>24</v>
      </c>
      <c r="D16" s="513" t="s">
        <v>2303</v>
      </c>
      <c r="E16" s="113">
        <v>2402</v>
      </c>
      <c r="F16" s="127" t="s">
        <v>2304</v>
      </c>
      <c r="G16" s="113">
        <v>2402041</v>
      </c>
      <c r="H16" s="127" t="s">
        <v>2305</v>
      </c>
      <c r="I16" s="515">
        <v>240204100</v>
      </c>
      <c r="J16" s="530" t="s">
        <v>2305</v>
      </c>
      <c r="K16" s="517">
        <v>2</v>
      </c>
      <c r="L16" s="518">
        <v>2024003630013</v>
      </c>
      <c r="M16" s="519" t="s">
        <v>2306</v>
      </c>
      <c r="N16" s="514" t="s">
        <v>2307</v>
      </c>
      <c r="O16" s="531">
        <v>292223724.13</v>
      </c>
      <c r="P16" s="521" t="s">
        <v>2308</v>
      </c>
      <c r="Q16" s="521">
        <v>4</v>
      </c>
      <c r="R16" s="521" t="s">
        <v>971</v>
      </c>
      <c r="S16" s="522">
        <v>49746</v>
      </c>
      <c r="T16" s="522">
        <v>50060</v>
      </c>
      <c r="U16" s="522">
        <v>12210</v>
      </c>
      <c r="V16" s="522">
        <v>8226</v>
      </c>
      <c r="W16" s="522">
        <v>45439</v>
      </c>
      <c r="X16" s="522">
        <v>18930</v>
      </c>
      <c r="Y16" s="522">
        <v>449</v>
      </c>
      <c r="Z16" s="522">
        <v>587</v>
      </c>
      <c r="AA16" s="522">
        <v>0</v>
      </c>
      <c r="AB16" s="522">
        <v>0</v>
      </c>
      <c r="AC16" s="522">
        <v>0</v>
      </c>
      <c r="AD16" s="522">
        <v>0</v>
      </c>
      <c r="AE16" s="522">
        <v>350</v>
      </c>
      <c r="AF16" s="522">
        <v>100</v>
      </c>
      <c r="AG16" s="522">
        <v>150</v>
      </c>
      <c r="AH16" s="522">
        <f t="shared" si="0"/>
        <v>99806</v>
      </c>
      <c r="AI16" s="523">
        <v>46023</v>
      </c>
      <c r="AJ16" s="523">
        <v>46387</v>
      </c>
      <c r="AK16" s="524" t="s">
        <v>2286</v>
      </c>
    </row>
    <row r="17" spans="1:37" ht="60" customHeight="1">
      <c r="A17" s="513">
        <v>3</v>
      </c>
      <c r="B17" s="514" t="s">
        <v>2302</v>
      </c>
      <c r="C17" s="513">
        <v>24</v>
      </c>
      <c r="D17" s="513" t="s">
        <v>2303</v>
      </c>
      <c r="E17" s="113">
        <v>2402</v>
      </c>
      <c r="F17" s="127" t="s">
        <v>2304</v>
      </c>
      <c r="G17" s="113">
        <v>2402041</v>
      </c>
      <c r="H17" s="127" t="s">
        <v>2305</v>
      </c>
      <c r="I17" s="515">
        <v>240204100</v>
      </c>
      <c r="J17" s="530" t="s">
        <v>2305</v>
      </c>
      <c r="K17" s="517">
        <v>2</v>
      </c>
      <c r="L17" s="518">
        <v>2024003630013</v>
      </c>
      <c r="M17" s="519" t="s">
        <v>2306</v>
      </c>
      <c r="N17" s="514" t="s">
        <v>2309</v>
      </c>
      <c r="O17" s="532">
        <v>120000000</v>
      </c>
      <c r="P17" s="521" t="s">
        <v>2310</v>
      </c>
      <c r="Q17" s="521">
        <v>4</v>
      </c>
      <c r="R17" s="521" t="s">
        <v>971</v>
      </c>
      <c r="S17" s="522">
        <v>49746</v>
      </c>
      <c r="T17" s="522">
        <v>50060</v>
      </c>
      <c r="U17" s="522">
        <v>12210</v>
      </c>
      <c r="V17" s="522">
        <v>8226</v>
      </c>
      <c r="W17" s="522">
        <v>45439</v>
      </c>
      <c r="X17" s="522">
        <v>18930</v>
      </c>
      <c r="Y17" s="522">
        <v>449</v>
      </c>
      <c r="Z17" s="522">
        <v>587</v>
      </c>
      <c r="AA17" s="522">
        <v>0</v>
      </c>
      <c r="AB17" s="522">
        <v>0</v>
      </c>
      <c r="AC17" s="522">
        <v>0</v>
      </c>
      <c r="AD17" s="522">
        <v>0</v>
      </c>
      <c r="AE17" s="522">
        <v>350</v>
      </c>
      <c r="AF17" s="522">
        <v>100</v>
      </c>
      <c r="AG17" s="522">
        <v>150</v>
      </c>
      <c r="AH17" s="522">
        <f t="shared" si="0"/>
        <v>99806</v>
      </c>
      <c r="AI17" s="523">
        <v>46023</v>
      </c>
      <c r="AJ17" s="523">
        <v>46387</v>
      </c>
      <c r="AK17" s="524" t="s">
        <v>2286</v>
      </c>
    </row>
    <row r="18" spans="1:37" ht="60" customHeight="1">
      <c r="A18" s="513">
        <v>3</v>
      </c>
      <c r="B18" s="514" t="s">
        <v>2302</v>
      </c>
      <c r="C18" s="513">
        <v>24</v>
      </c>
      <c r="D18" s="513" t="s">
        <v>2303</v>
      </c>
      <c r="E18" s="113">
        <v>2402</v>
      </c>
      <c r="F18" s="127" t="s">
        <v>2304</v>
      </c>
      <c r="G18" s="113">
        <v>2402114</v>
      </c>
      <c r="H18" s="127" t="s">
        <v>2311</v>
      </c>
      <c r="I18" s="515">
        <v>240211400</v>
      </c>
      <c r="J18" s="530" t="s">
        <v>2312</v>
      </c>
      <c r="K18" s="100">
        <v>0.3</v>
      </c>
      <c r="L18" s="518">
        <v>2024003630013</v>
      </c>
      <c r="M18" s="519" t="s">
        <v>2306</v>
      </c>
      <c r="N18" s="514" t="s">
        <v>2313</v>
      </c>
      <c r="O18" s="532">
        <v>280000000</v>
      </c>
      <c r="P18" s="521" t="s">
        <v>2314</v>
      </c>
      <c r="Q18" s="521">
        <v>4</v>
      </c>
      <c r="R18" s="521" t="s">
        <v>971</v>
      </c>
      <c r="S18" s="522">
        <v>49746</v>
      </c>
      <c r="T18" s="522">
        <v>50060</v>
      </c>
      <c r="U18" s="522">
        <v>12210</v>
      </c>
      <c r="V18" s="522">
        <v>8226</v>
      </c>
      <c r="W18" s="522">
        <v>45439</v>
      </c>
      <c r="X18" s="522">
        <v>18930</v>
      </c>
      <c r="Y18" s="522">
        <v>449</v>
      </c>
      <c r="Z18" s="522">
        <v>587</v>
      </c>
      <c r="AA18" s="522">
        <v>0</v>
      </c>
      <c r="AB18" s="522">
        <v>0</v>
      </c>
      <c r="AC18" s="522">
        <v>0</v>
      </c>
      <c r="AD18" s="522">
        <v>0</v>
      </c>
      <c r="AE18" s="522">
        <v>350</v>
      </c>
      <c r="AF18" s="522">
        <v>100</v>
      </c>
      <c r="AG18" s="522">
        <v>150</v>
      </c>
      <c r="AH18" s="522">
        <f t="shared" si="0"/>
        <v>99806</v>
      </c>
      <c r="AI18" s="523">
        <v>46023</v>
      </c>
      <c r="AJ18" s="523">
        <v>46387</v>
      </c>
      <c r="AK18" s="524" t="s">
        <v>2286</v>
      </c>
    </row>
    <row r="19" spans="1:37" ht="60" customHeight="1">
      <c r="A19" s="513">
        <v>3</v>
      </c>
      <c r="B19" s="514" t="s">
        <v>2302</v>
      </c>
      <c r="C19" s="513">
        <v>24</v>
      </c>
      <c r="D19" s="513" t="s">
        <v>2303</v>
      </c>
      <c r="E19" s="113">
        <v>2402</v>
      </c>
      <c r="F19" s="127" t="s">
        <v>2304</v>
      </c>
      <c r="G19" s="113">
        <v>2402114</v>
      </c>
      <c r="H19" s="127" t="s">
        <v>2311</v>
      </c>
      <c r="I19" s="515">
        <v>240211400</v>
      </c>
      <c r="J19" s="530" t="s">
        <v>2312</v>
      </c>
      <c r="K19" s="100">
        <v>0.3</v>
      </c>
      <c r="L19" s="518">
        <v>2024003630013</v>
      </c>
      <c r="M19" s="519" t="s">
        <v>2306</v>
      </c>
      <c r="N19" s="514" t="s">
        <v>2309</v>
      </c>
      <c r="O19" s="532">
        <v>120000000</v>
      </c>
      <c r="P19" s="521" t="s">
        <v>2315</v>
      </c>
      <c r="Q19" s="521">
        <v>4</v>
      </c>
      <c r="R19" s="521" t="s">
        <v>971</v>
      </c>
      <c r="S19" s="522">
        <v>49746</v>
      </c>
      <c r="T19" s="522">
        <v>50060</v>
      </c>
      <c r="U19" s="522">
        <v>12210</v>
      </c>
      <c r="V19" s="522">
        <v>8226</v>
      </c>
      <c r="W19" s="522">
        <v>45439</v>
      </c>
      <c r="X19" s="522">
        <v>18930</v>
      </c>
      <c r="Y19" s="522">
        <v>449</v>
      </c>
      <c r="Z19" s="522">
        <v>587</v>
      </c>
      <c r="AA19" s="522">
        <v>0</v>
      </c>
      <c r="AB19" s="522">
        <v>0</v>
      </c>
      <c r="AC19" s="522">
        <v>0</v>
      </c>
      <c r="AD19" s="522">
        <v>0</v>
      </c>
      <c r="AE19" s="522">
        <v>350</v>
      </c>
      <c r="AF19" s="522">
        <v>100</v>
      </c>
      <c r="AG19" s="522">
        <v>150</v>
      </c>
      <c r="AH19" s="522">
        <f t="shared" si="0"/>
        <v>99806</v>
      </c>
      <c r="AI19" s="523">
        <v>46023</v>
      </c>
      <c r="AJ19" s="523">
        <v>46387</v>
      </c>
      <c r="AK19" s="524" t="s">
        <v>2286</v>
      </c>
    </row>
    <row r="20" spans="1:37" ht="60" customHeight="1">
      <c r="A20" s="513">
        <v>3</v>
      </c>
      <c r="B20" s="514" t="s">
        <v>2302</v>
      </c>
      <c r="C20" s="513">
        <v>40</v>
      </c>
      <c r="D20" s="513" t="s">
        <v>2316</v>
      </c>
      <c r="E20" s="113">
        <v>4001</v>
      </c>
      <c r="F20" s="127" t="s">
        <v>2317</v>
      </c>
      <c r="G20" s="113">
        <v>4001001</v>
      </c>
      <c r="H20" s="127" t="s">
        <v>2318</v>
      </c>
      <c r="I20" s="113">
        <v>400100100</v>
      </c>
      <c r="J20" s="127" t="s">
        <v>2319</v>
      </c>
      <c r="K20" s="100">
        <v>12</v>
      </c>
      <c r="L20" s="518">
        <v>2024003630016</v>
      </c>
      <c r="M20" s="519" t="s">
        <v>2320</v>
      </c>
      <c r="N20" s="116" t="s">
        <v>2319</v>
      </c>
      <c r="O20" s="533">
        <v>55000000</v>
      </c>
      <c r="P20" s="521" t="s">
        <v>2321</v>
      </c>
      <c r="Q20" s="521">
        <v>4</v>
      </c>
      <c r="R20" s="521" t="s">
        <v>971</v>
      </c>
      <c r="S20" s="522">
        <v>1564</v>
      </c>
      <c r="T20" s="522">
        <v>1100</v>
      </c>
      <c r="U20" s="522">
        <v>252</v>
      </c>
      <c r="V20" s="522">
        <v>230</v>
      </c>
      <c r="W20" s="522">
        <v>1374</v>
      </c>
      <c r="X20" s="522">
        <v>808</v>
      </c>
      <c r="Y20" s="522">
        <v>20</v>
      </c>
      <c r="Z20" s="522">
        <v>108</v>
      </c>
      <c r="AA20" s="522">
        <v>0</v>
      </c>
      <c r="AB20" s="522">
        <v>0</v>
      </c>
      <c r="AC20" s="522">
        <v>0</v>
      </c>
      <c r="AD20" s="522">
        <v>0</v>
      </c>
      <c r="AE20" s="522">
        <v>368</v>
      </c>
      <c r="AF20" s="522">
        <v>338</v>
      </c>
      <c r="AG20" s="522">
        <v>88</v>
      </c>
      <c r="AH20" s="522">
        <f t="shared" ref="AH20:AH33" si="1">SUM(S20:T20)</f>
        <v>2664</v>
      </c>
      <c r="AI20" s="523">
        <v>46023</v>
      </c>
      <c r="AJ20" s="523">
        <v>46387</v>
      </c>
      <c r="AK20" s="524" t="s">
        <v>2286</v>
      </c>
    </row>
    <row r="21" spans="1:37" ht="60" customHeight="1">
      <c r="A21" s="513">
        <v>3</v>
      </c>
      <c r="B21" s="514" t="s">
        <v>2302</v>
      </c>
      <c r="C21" s="513">
        <v>40</v>
      </c>
      <c r="D21" s="513" t="s">
        <v>2316</v>
      </c>
      <c r="E21" s="113">
        <v>4001</v>
      </c>
      <c r="F21" s="127" t="s">
        <v>2317</v>
      </c>
      <c r="G21" s="113">
        <v>4001007</v>
      </c>
      <c r="H21" s="127" t="s">
        <v>2322</v>
      </c>
      <c r="I21" s="113">
        <v>400100700</v>
      </c>
      <c r="J21" s="127" t="s">
        <v>2323</v>
      </c>
      <c r="K21" s="100">
        <v>15</v>
      </c>
      <c r="L21" s="518">
        <v>2024003630016</v>
      </c>
      <c r="M21" s="519" t="s">
        <v>2320</v>
      </c>
      <c r="N21" s="116" t="s">
        <v>2324</v>
      </c>
      <c r="O21" s="533">
        <v>55000000</v>
      </c>
      <c r="P21" s="513" t="s">
        <v>2325</v>
      </c>
      <c r="Q21" s="521">
        <v>4</v>
      </c>
      <c r="R21" s="521" t="s">
        <v>971</v>
      </c>
      <c r="S21" s="522">
        <v>1564</v>
      </c>
      <c r="T21" s="522">
        <v>1100</v>
      </c>
      <c r="U21" s="522">
        <v>252</v>
      </c>
      <c r="V21" s="522">
        <v>230</v>
      </c>
      <c r="W21" s="522">
        <v>1374</v>
      </c>
      <c r="X21" s="522">
        <v>808</v>
      </c>
      <c r="Y21" s="522">
        <v>20</v>
      </c>
      <c r="Z21" s="522">
        <v>108</v>
      </c>
      <c r="AA21" s="522">
        <v>0</v>
      </c>
      <c r="AB21" s="522">
        <v>0</v>
      </c>
      <c r="AC21" s="522">
        <v>0</v>
      </c>
      <c r="AD21" s="522">
        <v>0</v>
      </c>
      <c r="AE21" s="522">
        <v>368</v>
      </c>
      <c r="AF21" s="522">
        <v>338</v>
      </c>
      <c r="AG21" s="522">
        <v>88</v>
      </c>
      <c r="AH21" s="522">
        <f t="shared" si="1"/>
        <v>2664</v>
      </c>
      <c r="AI21" s="523">
        <v>46023</v>
      </c>
      <c r="AJ21" s="523">
        <v>46387</v>
      </c>
      <c r="AK21" s="524" t="s">
        <v>2286</v>
      </c>
    </row>
    <row r="22" spans="1:37" ht="60" customHeight="1">
      <c r="A22" s="513">
        <v>3</v>
      </c>
      <c r="B22" s="514" t="s">
        <v>2302</v>
      </c>
      <c r="C22" s="513">
        <v>40</v>
      </c>
      <c r="D22" s="513" t="s">
        <v>2316</v>
      </c>
      <c r="E22" s="113">
        <v>4001</v>
      </c>
      <c r="F22" s="127" t="s">
        <v>2317</v>
      </c>
      <c r="G22" s="113">
        <v>4001030</v>
      </c>
      <c r="H22" s="127" t="s">
        <v>2326</v>
      </c>
      <c r="I22" s="515">
        <v>400103000</v>
      </c>
      <c r="J22" s="530" t="s">
        <v>2327</v>
      </c>
      <c r="K22" s="517">
        <v>1</v>
      </c>
      <c r="L22" s="518">
        <v>2024003630016</v>
      </c>
      <c r="M22" s="519" t="s">
        <v>2320</v>
      </c>
      <c r="N22" s="519" t="s">
        <v>2328</v>
      </c>
      <c r="O22" s="533">
        <v>245000000</v>
      </c>
      <c r="P22" s="521" t="s">
        <v>2329</v>
      </c>
      <c r="Q22" s="521">
        <v>4</v>
      </c>
      <c r="R22" s="521" t="s">
        <v>971</v>
      </c>
      <c r="S22" s="522">
        <v>1564</v>
      </c>
      <c r="T22" s="522">
        <v>1100</v>
      </c>
      <c r="U22" s="522">
        <v>252</v>
      </c>
      <c r="V22" s="522">
        <v>230</v>
      </c>
      <c r="W22" s="522">
        <v>1374</v>
      </c>
      <c r="X22" s="522">
        <v>808</v>
      </c>
      <c r="Y22" s="522">
        <v>20</v>
      </c>
      <c r="Z22" s="522">
        <v>108</v>
      </c>
      <c r="AA22" s="522">
        <v>0</v>
      </c>
      <c r="AB22" s="522">
        <v>0</v>
      </c>
      <c r="AC22" s="522">
        <v>0</v>
      </c>
      <c r="AD22" s="522">
        <v>0</v>
      </c>
      <c r="AE22" s="522">
        <v>368</v>
      </c>
      <c r="AF22" s="522">
        <v>338</v>
      </c>
      <c r="AG22" s="522">
        <v>88</v>
      </c>
      <c r="AH22" s="522">
        <f t="shared" si="1"/>
        <v>2664</v>
      </c>
      <c r="AI22" s="523">
        <v>46023</v>
      </c>
      <c r="AJ22" s="523">
        <v>46387</v>
      </c>
      <c r="AK22" s="524" t="s">
        <v>2286</v>
      </c>
    </row>
    <row r="23" spans="1:37" ht="60" customHeight="1">
      <c r="A23" s="513">
        <v>3</v>
      </c>
      <c r="B23" s="514" t="s">
        <v>2302</v>
      </c>
      <c r="C23" s="513">
        <v>40</v>
      </c>
      <c r="D23" s="513" t="s">
        <v>2316</v>
      </c>
      <c r="E23" s="113">
        <v>4001</v>
      </c>
      <c r="F23" s="127" t="s">
        <v>2317</v>
      </c>
      <c r="G23" s="113">
        <v>4001030</v>
      </c>
      <c r="H23" s="127" t="s">
        <v>2326</v>
      </c>
      <c r="I23" s="515">
        <v>400103000</v>
      </c>
      <c r="J23" s="530" t="s">
        <v>2327</v>
      </c>
      <c r="K23" s="517">
        <v>1</v>
      </c>
      <c r="L23" s="518">
        <v>2024003630016</v>
      </c>
      <c r="M23" s="519" t="s">
        <v>2320</v>
      </c>
      <c r="N23" s="519" t="s">
        <v>2309</v>
      </c>
      <c r="O23" s="533">
        <v>105000000</v>
      </c>
      <c r="P23" s="521" t="s">
        <v>2330</v>
      </c>
      <c r="Q23" s="521">
        <v>4</v>
      </c>
      <c r="R23" s="521" t="s">
        <v>971</v>
      </c>
      <c r="S23" s="522">
        <v>1564</v>
      </c>
      <c r="T23" s="522">
        <v>1100</v>
      </c>
      <c r="U23" s="522">
        <v>252</v>
      </c>
      <c r="V23" s="522">
        <v>230</v>
      </c>
      <c r="W23" s="522">
        <v>1374</v>
      </c>
      <c r="X23" s="522">
        <v>808</v>
      </c>
      <c r="Y23" s="522">
        <v>20</v>
      </c>
      <c r="Z23" s="522">
        <v>108</v>
      </c>
      <c r="AA23" s="522">
        <v>0</v>
      </c>
      <c r="AB23" s="522">
        <v>0</v>
      </c>
      <c r="AC23" s="522">
        <v>0</v>
      </c>
      <c r="AD23" s="522">
        <v>0</v>
      </c>
      <c r="AE23" s="522">
        <v>368</v>
      </c>
      <c r="AF23" s="522">
        <v>338</v>
      </c>
      <c r="AG23" s="522">
        <v>88</v>
      </c>
      <c r="AH23" s="522">
        <f t="shared" si="1"/>
        <v>2664</v>
      </c>
      <c r="AI23" s="523">
        <v>46023</v>
      </c>
      <c r="AJ23" s="523">
        <v>46387</v>
      </c>
      <c r="AK23" s="524" t="s">
        <v>2286</v>
      </c>
    </row>
    <row r="24" spans="1:37" ht="60" customHeight="1">
      <c r="A24" s="513">
        <v>3</v>
      </c>
      <c r="B24" s="514" t="s">
        <v>2302</v>
      </c>
      <c r="C24" s="513">
        <v>40</v>
      </c>
      <c r="D24" s="513" t="s">
        <v>2316</v>
      </c>
      <c r="E24" s="113">
        <v>4001</v>
      </c>
      <c r="F24" s="127" t="s">
        <v>2317</v>
      </c>
      <c r="G24" s="113">
        <v>4001039</v>
      </c>
      <c r="H24" s="127" t="s">
        <v>2331</v>
      </c>
      <c r="I24" s="113">
        <v>400103900</v>
      </c>
      <c r="J24" s="127" t="s">
        <v>2331</v>
      </c>
      <c r="K24" s="517">
        <v>100</v>
      </c>
      <c r="L24" s="518">
        <v>2024003630016</v>
      </c>
      <c r="M24" s="519" t="s">
        <v>2320</v>
      </c>
      <c r="N24" s="127" t="s">
        <v>2331</v>
      </c>
      <c r="O24" s="533">
        <v>800000000</v>
      </c>
      <c r="P24" s="521" t="s">
        <v>2332</v>
      </c>
      <c r="Q24" s="521">
        <v>3</v>
      </c>
      <c r="R24" s="521" t="s">
        <v>2285</v>
      </c>
      <c r="S24" s="522">
        <v>1564</v>
      </c>
      <c r="T24" s="522">
        <v>1100</v>
      </c>
      <c r="U24" s="522">
        <v>252</v>
      </c>
      <c r="V24" s="522">
        <v>230</v>
      </c>
      <c r="W24" s="522">
        <v>1374</v>
      </c>
      <c r="X24" s="522">
        <v>808</v>
      </c>
      <c r="Y24" s="522">
        <v>20</v>
      </c>
      <c r="Z24" s="522">
        <v>108</v>
      </c>
      <c r="AA24" s="522">
        <v>0</v>
      </c>
      <c r="AB24" s="522">
        <v>0</v>
      </c>
      <c r="AC24" s="522">
        <v>0</v>
      </c>
      <c r="AD24" s="522">
        <v>0</v>
      </c>
      <c r="AE24" s="522">
        <v>368</v>
      </c>
      <c r="AF24" s="522">
        <v>338</v>
      </c>
      <c r="AG24" s="522">
        <v>88</v>
      </c>
      <c r="AH24" s="522">
        <f t="shared" si="1"/>
        <v>2664</v>
      </c>
      <c r="AI24" s="523">
        <v>46023</v>
      </c>
      <c r="AJ24" s="523">
        <v>46387</v>
      </c>
      <c r="AK24" s="524" t="s">
        <v>2286</v>
      </c>
    </row>
    <row r="25" spans="1:37" ht="60" customHeight="1">
      <c r="A25" s="513">
        <v>3</v>
      </c>
      <c r="B25" s="514" t="s">
        <v>2302</v>
      </c>
      <c r="C25" s="513">
        <v>40</v>
      </c>
      <c r="D25" s="513" t="s">
        <v>2316</v>
      </c>
      <c r="E25" s="113">
        <v>4001</v>
      </c>
      <c r="F25" s="127" t="s">
        <v>2317</v>
      </c>
      <c r="G25" s="113">
        <v>4001041</v>
      </c>
      <c r="H25" s="127" t="s">
        <v>2333</v>
      </c>
      <c r="I25" s="515">
        <v>400104100</v>
      </c>
      <c r="J25" s="530" t="s">
        <v>2333</v>
      </c>
      <c r="K25" s="517">
        <v>250</v>
      </c>
      <c r="L25" s="518">
        <v>2024003630016</v>
      </c>
      <c r="M25" s="519" t="s">
        <v>2320</v>
      </c>
      <c r="N25" s="519" t="s">
        <v>2334</v>
      </c>
      <c r="O25" s="533">
        <v>490000000</v>
      </c>
      <c r="P25" s="521" t="s">
        <v>2335</v>
      </c>
      <c r="Q25" s="521">
        <v>3</v>
      </c>
      <c r="R25" s="521" t="s">
        <v>2285</v>
      </c>
      <c r="S25" s="522">
        <v>1564</v>
      </c>
      <c r="T25" s="522">
        <v>1100</v>
      </c>
      <c r="U25" s="522">
        <v>252</v>
      </c>
      <c r="V25" s="522">
        <v>230</v>
      </c>
      <c r="W25" s="522">
        <v>1374</v>
      </c>
      <c r="X25" s="522">
        <v>808</v>
      </c>
      <c r="Y25" s="522">
        <v>20</v>
      </c>
      <c r="Z25" s="522">
        <v>108</v>
      </c>
      <c r="AA25" s="522">
        <v>0</v>
      </c>
      <c r="AB25" s="522">
        <v>0</v>
      </c>
      <c r="AC25" s="522">
        <v>0</v>
      </c>
      <c r="AD25" s="522">
        <v>0</v>
      </c>
      <c r="AE25" s="522">
        <v>368</v>
      </c>
      <c r="AF25" s="522">
        <v>338</v>
      </c>
      <c r="AG25" s="522">
        <v>88</v>
      </c>
      <c r="AH25" s="522">
        <f t="shared" si="1"/>
        <v>2664</v>
      </c>
      <c r="AI25" s="523">
        <v>46023</v>
      </c>
      <c r="AJ25" s="523">
        <v>46387</v>
      </c>
      <c r="AK25" s="524" t="s">
        <v>2286</v>
      </c>
    </row>
    <row r="26" spans="1:37" ht="60" customHeight="1">
      <c r="A26" s="513">
        <v>3</v>
      </c>
      <c r="B26" s="514" t="s">
        <v>2302</v>
      </c>
      <c r="C26" s="513">
        <v>40</v>
      </c>
      <c r="D26" s="513" t="s">
        <v>2316</v>
      </c>
      <c r="E26" s="113">
        <v>4001</v>
      </c>
      <c r="F26" s="127" t="s">
        <v>2317</v>
      </c>
      <c r="G26" s="113">
        <v>4001041</v>
      </c>
      <c r="H26" s="127" t="s">
        <v>2333</v>
      </c>
      <c r="I26" s="515">
        <v>400104100</v>
      </c>
      <c r="J26" s="530" t="s">
        <v>2333</v>
      </c>
      <c r="K26" s="517">
        <v>250</v>
      </c>
      <c r="L26" s="518">
        <v>2024003630016</v>
      </c>
      <c r="M26" s="519" t="s">
        <v>2320</v>
      </c>
      <c r="N26" s="519" t="s">
        <v>2309</v>
      </c>
      <c r="O26" s="533">
        <v>210000000</v>
      </c>
      <c r="P26" s="521" t="s">
        <v>2336</v>
      </c>
      <c r="Q26" s="521">
        <v>3</v>
      </c>
      <c r="R26" s="521" t="s">
        <v>2285</v>
      </c>
      <c r="S26" s="522">
        <v>1564</v>
      </c>
      <c r="T26" s="522">
        <v>1100</v>
      </c>
      <c r="U26" s="522">
        <v>252</v>
      </c>
      <c r="V26" s="522">
        <v>230</v>
      </c>
      <c r="W26" s="522">
        <v>1374</v>
      </c>
      <c r="X26" s="522">
        <v>808</v>
      </c>
      <c r="Y26" s="522">
        <v>20</v>
      </c>
      <c r="Z26" s="522">
        <v>108</v>
      </c>
      <c r="AA26" s="522">
        <v>0</v>
      </c>
      <c r="AB26" s="522">
        <v>0</v>
      </c>
      <c r="AC26" s="522">
        <v>0</v>
      </c>
      <c r="AD26" s="522">
        <v>0</v>
      </c>
      <c r="AE26" s="522">
        <v>368</v>
      </c>
      <c r="AF26" s="522">
        <v>338</v>
      </c>
      <c r="AG26" s="522">
        <v>88</v>
      </c>
      <c r="AH26" s="522">
        <f t="shared" si="1"/>
        <v>2664</v>
      </c>
      <c r="AI26" s="523">
        <v>46023</v>
      </c>
      <c r="AJ26" s="523">
        <v>46387</v>
      </c>
      <c r="AK26" s="524" t="s">
        <v>2286</v>
      </c>
    </row>
    <row r="27" spans="1:37" ht="60" customHeight="1">
      <c r="A27" s="513">
        <v>3</v>
      </c>
      <c r="B27" s="514" t="s">
        <v>2302</v>
      </c>
      <c r="C27" s="513">
        <v>40</v>
      </c>
      <c r="D27" s="513" t="s">
        <v>2316</v>
      </c>
      <c r="E27" s="113">
        <v>4001</v>
      </c>
      <c r="F27" s="127" t="s">
        <v>2317</v>
      </c>
      <c r="G27" s="113">
        <v>4001044</v>
      </c>
      <c r="H27" s="127" t="s">
        <v>2337</v>
      </c>
      <c r="I27" s="515">
        <v>400104400</v>
      </c>
      <c r="J27" s="530" t="s">
        <v>2337</v>
      </c>
      <c r="K27" s="517">
        <v>45</v>
      </c>
      <c r="L27" s="518">
        <v>2024003630016</v>
      </c>
      <c r="M27" s="519" t="s">
        <v>2320</v>
      </c>
      <c r="N27" s="519" t="s">
        <v>2338</v>
      </c>
      <c r="O27" s="533">
        <v>245000000</v>
      </c>
      <c r="P27" s="521" t="s">
        <v>2339</v>
      </c>
      <c r="Q27" s="521">
        <v>3</v>
      </c>
      <c r="R27" s="521" t="s">
        <v>2285</v>
      </c>
      <c r="S27" s="522">
        <v>1564</v>
      </c>
      <c r="T27" s="522">
        <v>1100</v>
      </c>
      <c r="U27" s="522">
        <v>252</v>
      </c>
      <c r="V27" s="522">
        <v>230</v>
      </c>
      <c r="W27" s="522">
        <v>1374</v>
      </c>
      <c r="X27" s="522">
        <v>808</v>
      </c>
      <c r="Y27" s="522">
        <v>20</v>
      </c>
      <c r="Z27" s="522">
        <v>108</v>
      </c>
      <c r="AA27" s="522">
        <v>0</v>
      </c>
      <c r="AB27" s="522">
        <v>0</v>
      </c>
      <c r="AC27" s="522">
        <v>0</v>
      </c>
      <c r="AD27" s="522">
        <v>0</v>
      </c>
      <c r="AE27" s="522">
        <v>368</v>
      </c>
      <c r="AF27" s="522">
        <v>338</v>
      </c>
      <c r="AG27" s="522">
        <v>88</v>
      </c>
      <c r="AH27" s="522">
        <f t="shared" si="1"/>
        <v>2664</v>
      </c>
      <c r="AI27" s="523">
        <v>46023</v>
      </c>
      <c r="AJ27" s="523">
        <v>46387</v>
      </c>
      <c r="AK27" s="524" t="s">
        <v>2286</v>
      </c>
    </row>
    <row r="28" spans="1:37" ht="60" customHeight="1">
      <c r="A28" s="513">
        <v>3</v>
      </c>
      <c r="B28" s="514" t="s">
        <v>2302</v>
      </c>
      <c r="C28" s="513">
        <v>40</v>
      </c>
      <c r="D28" s="513" t="s">
        <v>2316</v>
      </c>
      <c r="E28" s="113">
        <v>4001</v>
      </c>
      <c r="F28" s="127" t="s">
        <v>2317</v>
      </c>
      <c r="G28" s="113">
        <v>4001044</v>
      </c>
      <c r="H28" s="127" t="s">
        <v>2337</v>
      </c>
      <c r="I28" s="113">
        <v>400104400</v>
      </c>
      <c r="J28" s="127" t="s">
        <v>2337</v>
      </c>
      <c r="K28" s="100">
        <v>45</v>
      </c>
      <c r="L28" s="534">
        <v>2024003630016</v>
      </c>
      <c r="M28" s="116" t="s">
        <v>2320</v>
      </c>
      <c r="N28" s="116" t="s">
        <v>2309</v>
      </c>
      <c r="O28" s="533">
        <v>105000000</v>
      </c>
      <c r="P28" s="521" t="s">
        <v>2340</v>
      </c>
      <c r="Q28" s="521">
        <v>3</v>
      </c>
      <c r="R28" s="521" t="s">
        <v>2285</v>
      </c>
      <c r="S28" s="522">
        <v>1564</v>
      </c>
      <c r="T28" s="522">
        <v>1100</v>
      </c>
      <c r="U28" s="522">
        <v>252</v>
      </c>
      <c r="V28" s="522">
        <v>230</v>
      </c>
      <c r="W28" s="522">
        <v>1374</v>
      </c>
      <c r="X28" s="522">
        <v>808</v>
      </c>
      <c r="Y28" s="522">
        <v>20</v>
      </c>
      <c r="Z28" s="522">
        <v>108</v>
      </c>
      <c r="AA28" s="522">
        <v>0</v>
      </c>
      <c r="AB28" s="522">
        <v>0</v>
      </c>
      <c r="AC28" s="522">
        <v>0</v>
      </c>
      <c r="AD28" s="522">
        <v>0</v>
      </c>
      <c r="AE28" s="522">
        <v>368</v>
      </c>
      <c r="AF28" s="522">
        <v>338</v>
      </c>
      <c r="AG28" s="522">
        <v>88</v>
      </c>
      <c r="AH28" s="522">
        <f t="shared" si="1"/>
        <v>2664</v>
      </c>
      <c r="AI28" s="523">
        <v>46023</v>
      </c>
      <c r="AJ28" s="523">
        <v>46387</v>
      </c>
      <c r="AK28" s="524" t="s">
        <v>2286</v>
      </c>
    </row>
    <row r="29" spans="1:37" ht="60" customHeight="1">
      <c r="A29" s="513">
        <v>3</v>
      </c>
      <c r="B29" s="514" t="s">
        <v>2302</v>
      </c>
      <c r="C29" s="513">
        <v>40</v>
      </c>
      <c r="D29" s="513" t="s">
        <v>2316</v>
      </c>
      <c r="E29" s="113">
        <v>4003</v>
      </c>
      <c r="F29" s="127" t="s">
        <v>2341</v>
      </c>
      <c r="G29" s="113">
        <v>4003025</v>
      </c>
      <c r="H29" s="127" t="s">
        <v>2342</v>
      </c>
      <c r="I29" s="515">
        <v>400302500</v>
      </c>
      <c r="J29" s="530" t="s">
        <v>2343</v>
      </c>
      <c r="K29" s="517">
        <v>1</v>
      </c>
      <c r="L29" s="518">
        <v>2024003630007</v>
      </c>
      <c r="M29" s="519" t="s">
        <v>2344</v>
      </c>
      <c r="N29" s="519" t="s">
        <v>2345</v>
      </c>
      <c r="O29" s="533">
        <v>245000000</v>
      </c>
      <c r="P29" s="535" t="s">
        <v>2346</v>
      </c>
      <c r="Q29" s="521">
        <v>3</v>
      </c>
      <c r="R29" s="521" t="s">
        <v>2285</v>
      </c>
      <c r="S29" s="522">
        <v>8778</v>
      </c>
      <c r="T29" s="522">
        <v>8409</v>
      </c>
      <c r="U29" s="522">
        <v>2550</v>
      </c>
      <c r="V29" s="522">
        <v>2646</v>
      </c>
      <c r="W29" s="522">
        <v>8883</v>
      </c>
      <c r="X29" s="522">
        <v>3108</v>
      </c>
      <c r="Y29" s="522">
        <v>318</v>
      </c>
      <c r="Z29" s="522">
        <v>9</v>
      </c>
      <c r="AA29" s="522">
        <v>0</v>
      </c>
      <c r="AB29" s="522">
        <v>0</v>
      </c>
      <c r="AC29" s="522">
        <v>0</v>
      </c>
      <c r="AD29" s="522">
        <v>0</v>
      </c>
      <c r="AE29" s="522">
        <v>4500</v>
      </c>
      <c r="AF29" s="522">
        <v>10</v>
      </c>
      <c r="AG29" s="522">
        <v>804</v>
      </c>
      <c r="AH29" s="522">
        <f t="shared" si="1"/>
        <v>17187</v>
      </c>
      <c r="AI29" s="523">
        <v>46023</v>
      </c>
      <c r="AJ29" s="523">
        <v>46387</v>
      </c>
      <c r="AK29" s="524" t="s">
        <v>2286</v>
      </c>
    </row>
    <row r="30" spans="1:37" ht="60" customHeight="1">
      <c r="A30" s="513">
        <v>3</v>
      </c>
      <c r="B30" s="514" t="s">
        <v>2302</v>
      </c>
      <c r="C30" s="513">
        <v>40</v>
      </c>
      <c r="D30" s="513" t="s">
        <v>2316</v>
      </c>
      <c r="E30" s="113">
        <v>4003</v>
      </c>
      <c r="F30" s="127" t="s">
        <v>2341</v>
      </c>
      <c r="G30" s="113">
        <v>4003025</v>
      </c>
      <c r="H30" s="127" t="s">
        <v>2342</v>
      </c>
      <c r="I30" s="113">
        <v>400302500</v>
      </c>
      <c r="J30" s="127" t="s">
        <v>2343</v>
      </c>
      <c r="K30" s="100">
        <v>1</v>
      </c>
      <c r="L30" s="534">
        <v>2024003630007</v>
      </c>
      <c r="M30" s="116" t="s">
        <v>2344</v>
      </c>
      <c r="N30" s="116" t="s">
        <v>2309</v>
      </c>
      <c r="O30" s="533">
        <v>105000000</v>
      </c>
      <c r="P30" s="535" t="s">
        <v>2347</v>
      </c>
      <c r="Q30" s="521">
        <v>3</v>
      </c>
      <c r="R30" s="521" t="s">
        <v>2285</v>
      </c>
      <c r="S30" s="522">
        <v>8778</v>
      </c>
      <c r="T30" s="522">
        <v>8409</v>
      </c>
      <c r="U30" s="522">
        <v>2550</v>
      </c>
      <c r="V30" s="522">
        <v>2646</v>
      </c>
      <c r="W30" s="522">
        <v>8883</v>
      </c>
      <c r="X30" s="522">
        <v>3108</v>
      </c>
      <c r="Y30" s="522">
        <v>318</v>
      </c>
      <c r="Z30" s="522">
        <v>9</v>
      </c>
      <c r="AA30" s="522">
        <v>0</v>
      </c>
      <c r="AB30" s="522">
        <v>0</v>
      </c>
      <c r="AC30" s="522">
        <v>0</v>
      </c>
      <c r="AD30" s="522">
        <v>0</v>
      </c>
      <c r="AE30" s="522">
        <v>4500</v>
      </c>
      <c r="AF30" s="522">
        <v>10</v>
      </c>
      <c r="AG30" s="522">
        <v>804</v>
      </c>
      <c r="AH30" s="522">
        <f t="shared" si="1"/>
        <v>17187</v>
      </c>
      <c r="AI30" s="523">
        <v>46023</v>
      </c>
      <c r="AJ30" s="523">
        <v>46387</v>
      </c>
      <c r="AK30" s="524" t="s">
        <v>2286</v>
      </c>
    </row>
    <row r="31" spans="1:37" ht="60" customHeight="1">
      <c r="A31" s="513">
        <v>3</v>
      </c>
      <c r="B31" s="514" t="s">
        <v>2302</v>
      </c>
      <c r="C31" s="513">
        <v>40</v>
      </c>
      <c r="D31" s="513" t="s">
        <v>2316</v>
      </c>
      <c r="E31" s="113">
        <v>4003</v>
      </c>
      <c r="F31" s="127" t="s">
        <v>2341</v>
      </c>
      <c r="G31" s="113">
        <v>4003042</v>
      </c>
      <c r="H31" s="127" t="s">
        <v>2326</v>
      </c>
      <c r="I31" s="113">
        <v>400304200</v>
      </c>
      <c r="J31" s="127" t="s">
        <v>2328</v>
      </c>
      <c r="K31" s="100">
        <v>1</v>
      </c>
      <c r="L31" s="534">
        <v>2024003630007</v>
      </c>
      <c r="M31" s="116" t="s">
        <v>2344</v>
      </c>
      <c r="N31" s="116" t="s">
        <v>2326</v>
      </c>
      <c r="O31" s="533">
        <v>150000000</v>
      </c>
      <c r="P31" s="535" t="s">
        <v>2348</v>
      </c>
      <c r="Q31" s="521">
        <v>3</v>
      </c>
      <c r="R31" s="521" t="s">
        <v>2285</v>
      </c>
      <c r="S31" s="522">
        <v>8778</v>
      </c>
      <c r="T31" s="522">
        <v>8409</v>
      </c>
      <c r="U31" s="522">
        <v>2550</v>
      </c>
      <c r="V31" s="522">
        <v>2646</v>
      </c>
      <c r="W31" s="522">
        <v>8883</v>
      </c>
      <c r="X31" s="522">
        <v>3108</v>
      </c>
      <c r="Y31" s="522">
        <v>318</v>
      </c>
      <c r="Z31" s="522">
        <v>9</v>
      </c>
      <c r="AA31" s="522">
        <v>0</v>
      </c>
      <c r="AB31" s="522">
        <v>0</v>
      </c>
      <c r="AC31" s="522">
        <v>0</v>
      </c>
      <c r="AD31" s="522">
        <v>0</v>
      </c>
      <c r="AE31" s="522">
        <v>4500</v>
      </c>
      <c r="AF31" s="522">
        <v>10</v>
      </c>
      <c r="AG31" s="522">
        <v>804</v>
      </c>
      <c r="AH31" s="522">
        <f t="shared" si="1"/>
        <v>17187</v>
      </c>
      <c r="AI31" s="523">
        <v>46023</v>
      </c>
      <c r="AJ31" s="523">
        <v>46387</v>
      </c>
      <c r="AK31" s="524" t="s">
        <v>2286</v>
      </c>
    </row>
    <row r="32" spans="1:37" ht="60" customHeight="1">
      <c r="A32" s="513">
        <v>4</v>
      </c>
      <c r="B32" s="514" t="s">
        <v>2349</v>
      </c>
      <c r="C32" s="513">
        <v>45</v>
      </c>
      <c r="D32" s="513" t="s">
        <v>254</v>
      </c>
      <c r="E32" s="113">
        <v>4599</v>
      </c>
      <c r="F32" s="127" t="s">
        <v>60</v>
      </c>
      <c r="G32" s="113">
        <v>4599016</v>
      </c>
      <c r="H32" s="127" t="s">
        <v>1162</v>
      </c>
      <c r="I32" s="515">
        <v>459901600</v>
      </c>
      <c r="J32" s="530" t="s">
        <v>1162</v>
      </c>
      <c r="K32" s="517">
        <v>5</v>
      </c>
      <c r="L32" s="518">
        <v>2024003630015</v>
      </c>
      <c r="M32" s="519" t="s">
        <v>2350</v>
      </c>
      <c r="N32" s="536" t="s">
        <v>2351</v>
      </c>
      <c r="O32" s="520">
        <v>245000000</v>
      </c>
      <c r="P32" s="521" t="s">
        <v>2352</v>
      </c>
      <c r="Q32" s="521">
        <v>4</v>
      </c>
      <c r="R32" s="521" t="s">
        <v>971</v>
      </c>
      <c r="S32" s="522">
        <v>8346</v>
      </c>
      <c r="T32" s="522">
        <v>7454</v>
      </c>
      <c r="U32" s="522">
        <v>3370</v>
      </c>
      <c r="V32" s="522">
        <v>2444</v>
      </c>
      <c r="W32" s="522">
        <v>7046</v>
      </c>
      <c r="X32" s="522">
        <v>2742</v>
      </c>
      <c r="Y32" s="522">
        <v>212</v>
      </c>
      <c r="Z32" s="522">
        <v>34</v>
      </c>
      <c r="AA32" s="522">
        <v>0</v>
      </c>
      <c r="AB32" s="522">
        <v>0</v>
      </c>
      <c r="AC32" s="522">
        <v>0</v>
      </c>
      <c r="AD32" s="522">
        <v>0</v>
      </c>
      <c r="AE32" s="522">
        <v>3100</v>
      </c>
      <c r="AF32" s="522">
        <v>274</v>
      </c>
      <c r="AG32" s="522">
        <v>448</v>
      </c>
      <c r="AH32" s="522">
        <f t="shared" si="1"/>
        <v>15800</v>
      </c>
      <c r="AI32" s="523">
        <v>46023</v>
      </c>
      <c r="AJ32" s="523">
        <v>46387</v>
      </c>
      <c r="AK32" s="524" t="s">
        <v>2286</v>
      </c>
    </row>
    <row r="33" spans="1:37" ht="60" customHeight="1" thickBot="1">
      <c r="A33" s="513">
        <v>4</v>
      </c>
      <c r="B33" s="514" t="s">
        <v>2349</v>
      </c>
      <c r="C33" s="513">
        <v>45</v>
      </c>
      <c r="D33" s="513" t="s">
        <v>254</v>
      </c>
      <c r="E33" s="113">
        <v>4599</v>
      </c>
      <c r="F33" s="127" t="s">
        <v>60</v>
      </c>
      <c r="G33" s="113">
        <v>4599016</v>
      </c>
      <c r="H33" s="127" t="s">
        <v>1162</v>
      </c>
      <c r="I33" s="515">
        <v>459901600</v>
      </c>
      <c r="J33" s="530" t="s">
        <v>1162</v>
      </c>
      <c r="K33" s="517">
        <v>5</v>
      </c>
      <c r="L33" s="518">
        <v>2024003630015</v>
      </c>
      <c r="M33" s="519" t="s">
        <v>2350</v>
      </c>
      <c r="N33" s="536" t="s">
        <v>2309</v>
      </c>
      <c r="O33" s="537">
        <v>105000000</v>
      </c>
      <c r="P33" s="521" t="s">
        <v>2353</v>
      </c>
      <c r="Q33" s="521">
        <v>4</v>
      </c>
      <c r="R33" s="521" t="s">
        <v>971</v>
      </c>
      <c r="S33" s="522">
        <v>8346</v>
      </c>
      <c r="T33" s="522">
        <v>7454</v>
      </c>
      <c r="U33" s="522">
        <v>3370</v>
      </c>
      <c r="V33" s="522">
        <v>2444</v>
      </c>
      <c r="W33" s="522">
        <v>7046</v>
      </c>
      <c r="X33" s="522">
        <v>2742</v>
      </c>
      <c r="Y33" s="522">
        <v>212</v>
      </c>
      <c r="Z33" s="522">
        <v>34</v>
      </c>
      <c r="AA33" s="522">
        <v>0</v>
      </c>
      <c r="AB33" s="522">
        <v>0</v>
      </c>
      <c r="AC33" s="522">
        <v>0</v>
      </c>
      <c r="AD33" s="522">
        <v>0</v>
      </c>
      <c r="AE33" s="522">
        <v>3100</v>
      </c>
      <c r="AF33" s="522">
        <v>274</v>
      </c>
      <c r="AG33" s="522">
        <v>448</v>
      </c>
      <c r="AH33" s="522">
        <f t="shared" si="1"/>
        <v>15800</v>
      </c>
      <c r="AI33" s="523">
        <v>46023</v>
      </c>
      <c r="AJ33" s="523">
        <v>46387</v>
      </c>
      <c r="AK33" s="524" t="s">
        <v>2286</v>
      </c>
    </row>
    <row r="34" spans="1:37" ht="33" customHeight="1" thickBot="1">
      <c r="A34" s="538"/>
      <c r="B34" s="539"/>
      <c r="C34" s="539"/>
      <c r="D34" s="539"/>
      <c r="E34" s="539"/>
      <c r="F34" s="539"/>
      <c r="G34" s="539"/>
      <c r="H34" s="539"/>
      <c r="I34" s="539"/>
      <c r="J34" s="539"/>
      <c r="K34" s="539"/>
      <c r="L34" s="540"/>
      <c r="M34" s="539"/>
      <c r="N34" s="541" t="s">
        <v>25</v>
      </c>
      <c r="O34" s="542">
        <f>SUM(O10:O33)</f>
        <v>6845914630.5300007</v>
      </c>
      <c r="P34" s="539"/>
      <c r="Q34" s="539"/>
      <c r="R34" s="539"/>
      <c r="S34" s="539"/>
      <c r="T34" s="539"/>
      <c r="U34" s="539"/>
      <c r="V34" s="539"/>
      <c r="W34" s="539"/>
      <c r="X34" s="539"/>
      <c r="Y34" s="539"/>
      <c r="Z34" s="539"/>
      <c r="AA34" s="539"/>
      <c r="AB34" s="539"/>
      <c r="AC34" s="539"/>
      <c r="AD34" s="539"/>
      <c r="AE34" s="539"/>
      <c r="AF34" s="539"/>
      <c r="AG34" s="539"/>
      <c r="AH34" s="539"/>
      <c r="AI34" s="539"/>
      <c r="AJ34" s="539"/>
      <c r="AK34" s="543"/>
    </row>
    <row r="36" spans="1:37" ht="23.45" customHeight="1">
      <c r="Q36" s="546"/>
      <c r="R36" s="546"/>
    </row>
    <row r="37" spans="1:37" ht="33" customHeight="1">
      <c r="A37" s="820"/>
      <c r="B37" s="820"/>
      <c r="C37" s="820"/>
      <c r="D37" s="820"/>
      <c r="E37" s="820"/>
      <c r="F37" s="820"/>
      <c r="G37" s="820"/>
      <c r="H37" s="820"/>
      <c r="I37" s="820"/>
      <c r="J37" s="820"/>
      <c r="K37" s="1100" t="s">
        <v>2354</v>
      </c>
      <c r="L37" s="1100"/>
      <c r="M37" s="1100"/>
      <c r="N37" s="1100"/>
      <c r="O37" s="1100"/>
      <c r="P37" s="1100"/>
      <c r="Q37" s="1100"/>
      <c r="R37" s="820"/>
      <c r="S37" s="820"/>
      <c r="T37" s="820"/>
      <c r="U37" s="820"/>
      <c r="V37" s="820"/>
      <c r="W37" s="820"/>
      <c r="X37" s="820"/>
      <c r="Y37" s="820"/>
      <c r="Z37" s="820"/>
      <c r="AA37" s="820"/>
      <c r="AB37" s="820"/>
      <c r="AC37" s="820"/>
      <c r="AD37" s="820"/>
      <c r="AE37" s="820"/>
      <c r="AF37" s="820"/>
      <c r="AG37" s="820"/>
      <c r="AH37" s="820"/>
      <c r="AI37" s="820"/>
      <c r="AJ37" s="820"/>
      <c r="AK37" s="820"/>
    </row>
    <row r="38" spans="1:37" ht="23.45" customHeight="1">
      <c r="A38" s="821"/>
      <c r="B38" s="821"/>
      <c r="C38" s="821"/>
      <c r="D38" s="821"/>
      <c r="E38" s="821"/>
      <c r="F38" s="821"/>
      <c r="G38" s="821"/>
      <c r="H38" s="821"/>
      <c r="I38" s="821"/>
      <c r="J38" s="821"/>
      <c r="K38" s="1123" t="s">
        <v>2355</v>
      </c>
      <c r="L38" s="1123"/>
      <c r="M38" s="1123"/>
      <c r="N38" s="1123"/>
      <c r="O38" s="1123"/>
      <c r="P38" s="1123"/>
      <c r="Q38" s="1123"/>
      <c r="R38" s="821"/>
      <c r="S38" s="821"/>
      <c r="T38" s="821"/>
      <c r="U38" s="821"/>
      <c r="V38" s="821"/>
      <c r="W38" s="821"/>
      <c r="X38" s="821"/>
      <c r="Y38" s="821"/>
      <c r="Z38" s="821"/>
      <c r="AA38" s="821"/>
      <c r="AB38" s="821"/>
      <c r="AC38" s="821"/>
      <c r="AD38" s="821"/>
      <c r="AE38" s="821"/>
      <c r="AF38" s="821"/>
      <c r="AG38" s="821"/>
      <c r="AH38" s="821"/>
      <c r="AI38" s="821"/>
      <c r="AJ38" s="821"/>
      <c r="AK38" s="821"/>
    </row>
    <row r="39" spans="1:37" ht="33" customHeight="1">
      <c r="Q39" s="546"/>
      <c r="R39" s="546"/>
    </row>
    <row r="40" spans="1:37" ht="33" customHeight="1">
      <c r="Q40" s="546"/>
      <c r="R40" s="546"/>
    </row>
    <row r="41" spans="1:37" ht="33" customHeight="1">
      <c r="Q41" s="546"/>
      <c r="R41" s="546"/>
    </row>
    <row r="42" spans="1:37" ht="33" customHeight="1">
      <c r="Q42" s="546"/>
      <c r="R42" s="546"/>
    </row>
    <row r="43" spans="1:37" ht="33" customHeight="1">
      <c r="Q43" s="546"/>
      <c r="R43" s="546"/>
    </row>
    <row r="44" spans="1:37" ht="33" customHeight="1">
      <c r="G44" s="1124" t="s">
        <v>108</v>
      </c>
      <c r="H44" s="1124"/>
      <c r="I44" s="982" t="s">
        <v>109</v>
      </c>
      <c r="J44" s="983"/>
      <c r="K44" s="982" t="s">
        <v>110</v>
      </c>
      <c r="L44" s="983"/>
      <c r="Q44" s="546"/>
      <c r="R44" s="546"/>
    </row>
    <row r="45" spans="1:37" ht="33" customHeight="1">
      <c r="G45" s="1124" t="s">
        <v>648</v>
      </c>
      <c r="H45" s="1124"/>
      <c r="I45" s="547" t="s">
        <v>112</v>
      </c>
      <c r="J45" s="547"/>
      <c r="K45" s="1124" t="s">
        <v>113</v>
      </c>
      <c r="L45" s="1124"/>
      <c r="Q45" s="546"/>
      <c r="R45" s="546"/>
    </row>
    <row r="46" spans="1:37" ht="33" customHeight="1">
      <c r="G46" s="1124" t="s">
        <v>114</v>
      </c>
      <c r="H46" s="1124"/>
      <c r="I46" s="1124" t="s">
        <v>115</v>
      </c>
      <c r="J46" s="1124"/>
      <c r="K46" s="1124" t="s">
        <v>116</v>
      </c>
      <c r="L46" s="1124"/>
    </row>
    <row r="47" spans="1:37" ht="33" customHeight="1">
      <c r="G47" s="548" t="s">
        <v>649</v>
      </c>
    </row>
  </sheetData>
  <mergeCells count="31">
    <mergeCell ref="K37:Q37"/>
    <mergeCell ref="K38:Q38"/>
    <mergeCell ref="G45:H45"/>
    <mergeCell ref="K45:L45"/>
    <mergeCell ref="G46:H46"/>
    <mergeCell ref="I46:J46"/>
    <mergeCell ref="K46:L46"/>
    <mergeCell ref="G44:H44"/>
    <mergeCell ref="I44:J44"/>
    <mergeCell ref="K44:L44"/>
    <mergeCell ref="AJ7:AJ9"/>
    <mergeCell ref="AK7:AK9"/>
    <mergeCell ref="P8:R8"/>
    <mergeCell ref="S8:T8"/>
    <mergeCell ref="U8:X8"/>
    <mergeCell ref="Y8:AD8"/>
    <mergeCell ref="AE8:AG8"/>
    <mergeCell ref="A1:B6"/>
    <mergeCell ref="C1:AI1"/>
    <mergeCell ref="C5:AI6"/>
    <mergeCell ref="A7:B8"/>
    <mergeCell ref="C7:D8"/>
    <mergeCell ref="E7:F8"/>
    <mergeCell ref="G7:H8"/>
    <mergeCell ref="I7:J8"/>
    <mergeCell ref="K7:K8"/>
    <mergeCell ref="C2:AI4"/>
    <mergeCell ref="AH8:AH9"/>
    <mergeCell ref="L7:O8"/>
    <mergeCell ref="S7:AH7"/>
    <mergeCell ref="AI7:AI9"/>
  </mergeCells>
  <conditionalFormatting sqref="I13">
    <cfRule type="duplicateValues" dxfId="11" priority="5"/>
    <cfRule type="duplicateValues" dxfId="10" priority="6"/>
    <cfRule type="duplicateValues" dxfId="9" priority="7"/>
    <cfRule type="duplicateValues" dxfId="8" priority="8"/>
  </conditionalFormatting>
  <conditionalFormatting sqref="I15">
    <cfRule type="duplicateValues" dxfId="7" priority="1"/>
    <cfRule type="duplicateValues" dxfId="6" priority="2"/>
    <cfRule type="duplicateValues" dxfId="5" priority="3"/>
    <cfRule type="duplicateValues" dxfId="4" priority="4"/>
  </conditionalFormatting>
  <pageMargins left="0.25" right="0.25" top="0.75" bottom="0.75" header="0.3" footer="0.3"/>
  <pageSetup scale="22" fitToHeight="6" orientation="portrait"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filterMode="1">
    <pageSetUpPr fitToPage="1"/>
  </sheetPr>
  <dimension ref="A1:BI44"/>
  <sheetViews>
    <sheetView topLeftCell="K1" zoomScale="70" zoomScaleNormal="70" zoomScaleSheetLayoutView="70" workbookViewId="0">
      <pane ySplit="9" topLeftCell="I12" activePane="bottomLeft" state="frozen"/>
      <selection pane="bottomLeft" activeCell="J12" sqref="J12"/>
    </sheetView>
  </sheetViews>
  <sheetFormatPr defaultColWidth="11.42578125" defaultRowHeight="15" customHeight="1"/>
  <cols>
    <col min="1" max="1" width="12.28515625" customWidth="1"/>
    <col min="2" max="2" width="32.28515625" customWidth="1"/>
    <col min="3" max="3" width="12" customWidth="1"/>
    <col min="4" max="4" width="20.42578125" customWidth="1"/>
    <col min="5" max="5" width="12" customWidth="1"/>
    <col min="6" max="6" width="25.42578125" customWidth="1"/>
    <col min="7" max="7" width="13.7109375" customWidth="1"/>
    <col min="8" max="8" width="29" customWidth="1"/>
    <col min="9" max="9" width="13.7109375" customWidth="1"/>
    <col min="10" max="10" width="40" customWidth="1"/>
    <col min="11" max="13" width="15.7109375" customWidth="1"/>
    <col min="14" max="14" width="17.42578125" customWidth="1"/>
    <col min="15" max="15" width="40" customWidth="1"/>
    <col min="16" max="16" width="48.28515625" customWidth="1"/>
    <col min="17" max="17" width="25.85546875" customWidth="1"/>
    <col min="18" max="18" width="24.85546875" customWidth="1"/>
    <col min="19" max="19" width="23.42578125" customWidth="1"/>
    <col min="20" max="20" width="22" customWidth="1"/>
    <col min="21" max="21" width="22.140625" customWidth="1"/>
    <col min="22" max="22" width="43.85546875" customWidth="1"/>
    <col min="23" max="23" width="12" customWidth="1"/>
    <col min="24" max="24" width="17.42578125" customWidth="1"/>
    <col min="25" max="25" width="10.7109375" customWidth="1"/>
    <col min="26" max="26" width="11" customWidth="1"/>
    <col min="27" max="27" width="9.28515625" customWidth="1"/>
    <col min="28" max="28" width="11.140625" customWidth="1"/>
    <col min="29" max="29" width="9.42578125" customWidth="1"/>
    <col min="30" max="30" width="8.42578125" customWidth="1"/>
    <col min="31" max="31" width="9.42578125" customWidth="1"/>
    <col min="32" max="32" width="8.85546875" customWidth="1"/>
    <col min="33" max="33" width="6.7109375" customWidth="1"/>
    <col min="34" max="34" width="6.42578125" customWidth="1"/>
    <col min="35" max="35" width="6.28515625" customWidth="1"/>
    <col min="36" max="36" width="6.42578125" customWidth="1"/>
    <col min="37" max="37" width="11.7109375" customWidth="1"/>
    <col min="38" max="38" width="10.85546875" customWidth="1"/>
    <col min="39" max="39" width="12" customWidth="1"/>
    <col min="40" max="40" width="11" customWidth="1"/>
    <col min="41" max="41" width="14.28515625" customWidth="1"/>
    <col min="42" max="42" width="14.42578125" customWidth="1"/>
    <col min="43" max="43" width="19.42578125" customWidth="1"/>
  </cols>
  <sheetData>
    <row r="1" spans="1:61" ht="15.75">
      <c r="A1" s="1001"/>
      <c r="B1" s="1001"/>
      <c r="C1" s="1125" t="s">
        <v>0</v>
      </c>
      <c r="D1" s="1125"/>
      <c r="E1" s="1125"/>
      <c r="F1" s="1125"/>
      <c r="G1" s="1125"/>
      <c r="H1" s="1125"/>
      <c r="I1" s="1125"/>
      <c r="J1" s="1125"/>
      <c r="K1" s="1125"/>
      <c r="L1" s="1125"/>
      <c r="M1" s="1125"/>
      <c r="N1" s="1125"/>
      <c r="O1" s="1125"/>
      <c r="P1" s="1125"/>
      <c r="Q1" s="1125"/>
      <c r="R1" s="1125"/>
      <c r="S1" s="1125"/>
      <c r="T1" s="1125"/>
      <c r="U1" s="1125"/>
      <c r="V1" s="1125"/>
      <c r="W1" s="1125"/>
      <c r="X1" s="1125"/>
      <c r="Y1" s="1125"/>
      <c r="Z1" s="1125"/>
      <c r="AA1" s="1125"/>
      <c r="AB1" s="1125"/>
      <c r="AC1" s="1125"/>
      <c r="AD1" s="1125"/>
      <c r="AE1" s="1125"/>
      <c r="AF1" s="1125"/>
      <c r="AG1" s="1125"/>
      <c r="AH1" s="1125"/>
      <c r="AI1" s="1125"/>
      <c r="AJ1" s="1125"/>
      <c r="AK1" s="1125"/>
      <c r="AL1" s="1125"/>
      <c r="AM1" s="1125"/>
      <c r="AN1" s="1125"/>
      <c r="AO1" s="1125"/>
    </row>
    <row r="2" spans="1:61" s="2" customFormat="1" ht="14.45" customHeight="1">
      <c r="A2" s="1001"/>
      <c r="B2" s="1001"/>
      <c r="C2" s="1126" t="s">
        <v>2356</v>
      </c>
      <c r="D2" s="1126"/>
      <c r="E2" s="1126"/>
      <c r="F2" s="1126"/>
      <c r="G2" s="1126"/>
      <c r="H2" s="1126"/>
      <c r="I2" s="1126"/>
      <c r="J2" s="1126"/>
      <c r="K2" s="1126"/>
      <c r="L2" s="1126"/>
      <c r="M2" s="1126"/>
      <c r="N2" s="1126"/>
      <c r="O2" s="1126"/>
      <c r="P2" s="1126"/>
      <c r="Q2" s="1126"/>
      <c r="R2" s="1126"/>
      <c r="S2" s="1126"/>
      <c r="T2" s="1126"/>
      <c r="U2" s="1126"/>
      <c r="V2" s="1126"/>
      <c r="W2" s="1126"/>
      <c r="X2" s="1126"/>
      <c r="Y2" s="1126"/>
      <c r="Z2" s="1126"/>
      <c r="AA2" s="1126"/>
      <c r="AB2" s="1126"/>
      <c r="AC2" s="1126"/>
      <c r="AD2" s="1126"/>
      <c r="AE2" s="1126"/>
      <c r="AF2" s="1126"/>
      <c r="AG2" s="1126"/>
      <c r="AH2" s="1126"/>
      <c r="AI2" s="1126"/>
      <c r="AJ2" s="1126"/>
      <c r="AK2" s="1126"/>
      <c r="AL2" s="1126"/>
      <c r="AM2" s="1126"/>
      <c r="AN2" s="1126"/>
      <c r="AO2" s="1126"/>
      <c r="AP2" s="25" t="s">
        <v>2</v>
      </c>
      <c r="AQ2" s="957" t="s">
        <v>3</v>
      </c>
      <c r="AR2" s="1"/>
      <c r="AS2" s="1"/>
      <c r="AT2" s="1"/>
      <c r="AU2" s="1"/>
      <c r="AV2" s="1"/>
      <c r="AW2" s="1"/>
      <c r="AX2" s="1"/>
      <c r="AY2" s="1"/>
      <c r="AZ2" s="1"/>
      <c r="BA2" s="1"/>
      <c r="BB2" s="1"/>
      <c r="BC2" s="1"/>
      <c r="BD2" s="1"/>
      <c r="BE2" s="1"/>
      <c r="BF2" s="1"/>
      <c r="BG2" s="1"/>
      <c r="BH2" s="1"/>
      <c r="BI2" s="1"/>
    </row>
    <row r="3" spans="1:61" s="2" customFormat="1" ht="11.25" customHeight="1">
      <c r="A3" s="1001"/>
      <c r="B3" s="1001"/>
      <c r="C3" s="1126"/>
      <c r="D3" s="1126"/>
      <c r="E3" s="1126"/>
      <c r="F3" s="1126"/>
      <c r="G3" s="1126"/>
      <c r="H3" s="1126"/>
      <c r="I3" s="1126"/>
      <c r="J3" s="1126"/>
      <c r="K3" s="1126"/>
      <c r="L3" s="1126"/>
      <c r="M3" s="1126"/>
      <c r="N3" s="1126"/>
      <c r="O3" s="1126"/>
      <c r="P3" s="1126"/>
      <c r="Q3" s="1126"/>
      <c r="R3" s="1126"/>
      <c r="S3" s="1126"/>
      <c r="T3" s="1126"/>
      <c r="U3" s="1126"/>
      <c r="V3" s="1126"/>
      <c r="W3" s="1126"/>
      <c r="X3" s="1126"/>
      <c r="Y3" s="1126"/>
      <c r="Z3" s="1126"/>
      <c r="AA3" s="1126"/>
      <c r="AB3" s="1126"/>
      <c r="AC3" s="1126"/>
      <c r="AD3" s="1126"/>
      <c r="AE3" s="1126"/>
      <c r="AF3" s="1126"/>
      <c r="AG3" s="1126"/>
      <c r="AH3" s="1126"/>
      <c r="AI3" s="1126"/>
      <c r="AJ3" s="1126"/>
      <c r="AK3" s="1126"/>
      <c r="AL3" s="1126"/>
      <c r="AM3" s="1126"/>
      <c r="AN3" s="1126"/>
      <c r="AO3" s="1126"/>
      <c r="AP3" s="42" t="s">
        <v>4</v>
      </c>
      <c r="AQ3" s="40">
        <v>14</v>
      </c>
      <c r="AR3" s="1"/>
      <c r="AS3" s="1"/>
      <c r="AT3" s="1"/>
      <c r="AU3" s="1"/>
      <c r="AV3" s="1"/>
      <c r="AW3" s="1"/>
      <c r="AX3" s="1"/>
      <c r="AY3" s="1"/>
      <c r="AZ3" s="1"/>
      <c r="BA3" s="1"/>
      <c r="BB3" s="1"/>
      <c r="BC3" s="1"/>
      <c r="BD3" s="1"/>
      <c r="BE3" s="1"/>
      <c r="BF3" s="1"/>
      <c r="BG3" s="1"/>
      <c r="BH3" s="1"/>
      <c r="BI3" s="1"/>
    </row>
    <row r="4" spans="1:61" s="2" customFormat="1" ht="18.75" customHeight="1">
      <c r="A4" s="1001"/>
      <c r="B4" s="1001"/>
      <c r="C4" s="1126"/>
      <c r="D4" s="1126"/>
      <c r="E4" s="1126"/>
      <c r="F4" s="1126"/>
      <c r="G4" s="1126"/>
      <c r="H4" s="1126"/>
      <c r="I4" s="1126"/>
      <c r="J4" s="1126"/>
      <c r="K4" s="1126"/>
      <c r="L4" s="1126"/>
      <c r="M4" s="1126"/>
      <c r="N4" s="1126"/>
      <c r="O4" s="1126"/>
      <c r="P4" s="1126"/>
      <c r="Q4" s="1126"/>
      <c r="R4" s="1126"/>
      <c r="S4" s="1126"/>
      <c r="T4" s="1126"/>
      <c r="U4" s="1126"/>
      <c r="V4" s="1126"/>
      <c r="W4" s="1126"/>
      <c r="X4" s="1126"/>
      <c r="Y4" s="1126"/>
      <c r="Z4" s="1126"/>
      <c r="AA4" s="1126"/>
      <c r="AB4" s="1126"/>
      <c r="AC4" s="1126"/>
      <c r="AD4" s="1126"/>
      <c r="AE4" s="1126"/>
      <c r="AF4" s="1126"/>
      <c r="AG4" s="1126"/>
      <c r="AH4" s="1126"/>
      <c r="AI4" s="1126"/>
      <c r="AJ4" s="1126"/>
      <c r="AK4" s="1126"/>
      <c r="AL4" s="1126"/>
      <c r="AM4" s="1126"/>
      <c r="AN4" s="1126"/>
      <c r="AO4" s="1126"/>
      <c r="AP4" s="42" t="s">
        <v>5</v>
      </c>
      <c r="AQ4" s="41">
        <v>45884</v>
      </c>
      <c r="AR4" s="1"/>
      <c r="AS4" s="1"/>
      <c r="AT4" s="1"/>
      <c r="AU4" s="1"/>
      <c r="AV4" s="1"/>
      <c r="AW4" s="1"/>
      <c r="AX4" s="1"/>
      <c r="AY4" s="1"/>
      <c r="AZ4" s="1"/>
      <c r="BA4" s="1"/>
      <c r="BB4" s="1"/>
      <c r="BC4" s="1"/>
      <c r="BD4" s="1"/>
      <c r="BE4" s="1"/>
      <c r="BF4" s="1"/>
      <c r="BG4" s="1"/>
      <c r="BH4" s="1"/>
      <c r="BI4" s="1"/>
    </row>
    <row r="5" spans="1:61" s="2" customFormat="1" ht="14.45" customHeight="1">
      <c r="A5" s="1001"/>
      <c r="B5" s="1001"/>
      <c r="C5" s="1127" t="s">
        <v>6</v>
      </c>
      <c r="D5" s="1127"/>
      <c r="E5" s="1127"/>
      <c r="F5" s="1127"/>
      <c r="G5" s="1127"/>
      <c r="H5" s="1127"/>
      <c r="I5" s="1127"/>
      <c r="J5" s="1127"/>
      <c r="K5" s="1127"/>
      <c r="L5" s="1127"/>
      <c r="M5" s="1127"/>
      <c r="N5" s="1127"/>
      <c r="O5" s="1127"/>
      <c r="P5" s="1127"/>
      <c r="Q5" s="1127"/>
      <c r="R5" s="1127"/>
      <c r="S5" s="1127"/>
      <c r="T5" s="1127"/>
      <c r="U5" s="1127"/>
      <c r="V5" s="1127"/>
      <c r="W5" s="1127"/>
      <c r="X5" s="1127"/>
      <c r="Y5" s="1127"/>
      <c r="Z5" s="1127"/>
      <c r="AA5" s="1127"/>
      <c r="AB5" s="1127"/>
      <c r="AC5" s="1127"/>
      <c r="AD5" s="1127"/>
      <c r="AE5" s="1127"/>
      <c r="AF5" s="1127"/>
      <c r="AG5" s="1127"/>
      <c r="AH5" s="1127"/>
      <c r="AI5" s="1127"/>
      <c r="AJ5" s="1127"/>
      <c r="AK5" s="1127"/>
      <c r="AL5" s="1127"/>
      <c r="AM5" s="1127"/>
      <c r="AN5" s="1127"/>
      <c r="AO5" s="1127"/>
      <c r="AP5" s="25" t="s">
        <v>7</v>
      </c>
      <c r="AQ5" s="3" t="s">
        <v>8</v>
      </c>
      <c r="AR5" s="1"/>
      <c r="AS5" s="1"/>
      <c r="AT5" s="1"/>
      <c r="AU5" s="1"/>
      <c r="AV5" s="1"/>
      <c r="AW5" s="1"/>
      <c r="AX5" s="1"/>
      <c r="AY5" s="1"/>
      <c r="AZ5" s="1"/>
      <c r="BA5" s="1"/>
      <c r="BB5" s="1"/>
      <c r="BC5" s="1"/>
      <c r="BD5" s="1"/>
      <c r="BE5" s="1"/>
      <c r="BF5" s="1"/>
      <c r="BG5" s="1"/>
      <c r="BH5" s="1"/>
      <c r="BI5" s="1"/>
    </row>
    <row r="6" spans="1:61" s="2" customFormat="1" ht="9.75" customHeight="1">
      <c r="A6" s="1001"/>
      <c r="B6" s="1001"/>
      <c r="C6" s="1127"/>
      <c r="D6" s="1127"/>
      <c r="E6" s="1127"/>
      <c r="F6" s="1127"/>
      <c r="G6" s="1127"/>
      <c r="H6" s="1127"/>
      <c r="I6" s="1127"/>
      <c r="J6" s="1127"/>
      <c r="K6" s="1128"/>
      <c r="L6" s="1128"/>
      <c r="M6" s="1128"/>
      <c r="N6" s="1127"/>
      <c r="O6" s="1127"/>
      <c r="P6" s="1127"/>
      <c r="Q6" s="1127"/>
      <c r="R6" s="1127"/>
      <c r="S6" s="1127"/>
      <c r="T6" s="1127"/>
      <c r="U6" s="1127"/>
      <c r="V6" s="1127"/>
      <c r="W6" s="1127"/>
      <c r="X6" s="1127"/>
      <c r="Y6" s="1127"/>
      <c r="Z6" s="1127"/>
      <c r="AA6" s="1127"/>
      <c r="AB6" s="1127"/>
      <c r="AC6" s="1127"/>
      <c r="AD6" s="1127"/>
      <c r="AE6" s="1127"/>
      <c r="AF6" s="1127"/>
      <c r="AG6" s="1127"/>
      <c r="AH6" s="1127"/>
      <c r="AI6" s="1127"/>
      <c r="AJ6" s="1127"/>
      <c r="AK6" s="1127"/>
      <c r="AL6" s="1127"/>
      <c r="AM6" s="1127"/>
      <c r="AN6" s="1127"/>
      <c r="AO6" s="1127"/>
      <c r="AP6" s="4"/>
      <c r="AQ6" s="5"/>
      <c r="AR6" s="1"/>
      <c r="AS6" s="1"/>
      <c r="AT6" s="1"/>
      <c r="AU6" s="1"/>
      <c r="AV6" s="1"/>
      <c r="AW6" s="1"/>
      <c r="AX6" s="1"/>
      <c r="AY6" s="1"/>
      <c r="AZ6" s="1"/>
      <c r="BA6" s="1"/>
      <c r="BB6" s="1"/>
      <c r="BC6" s="1"/>
      <c r="BD6" s="1"/>
      <c r="BE6" s="1"/>
      <c r="BF6" s="1"/>
      <c r="BG6" s="1"/>
      <c r="BH6" s="1"/>
      <c r="BI6" s="1"/>
    </row>
    <row r="7" spans="1:61" ht="21" customHeight="1">
      <c r="A7" s="1006" t="s">
        <v>9</v>
      </c>
      <c r="B7" s="1007"/>
      <c r="C7" s="1006" t="s">
        <v>10</v>
      </c>
      <c r="D7" s="1010"/>
      <c r="E7" s="1006" t="s">
        <v>11</v>
      </c>
      <c r="F7" s="1010"/>
      <c r="G7" s="1006" t="s">
        <v>12</v>
      </c>
      <c r="H7" s="1010"/>
      <c r="I7" s="1012" t="s">
        <v>13</v>
      </c>
      <c r="J7" s="1012"/>
      <c r="K7" s="1014" t="s">
        <v>14</v>
      </c>
      <c r="L7" s="1014"/>
      <c r="M7" s="1014"/>
      <c r="N7" s="1015" t="s">
        <v>15</v>
      </c>
      <c r="O7" s="1015"/>
      <c r="P7" s="1015"/>
      <c r="Q7" s="1015"/>
      <c r="R7" s="33"/>
      <c r="S7" s="958"/>
      <c r="T7" s="958"/>
      <c r="U7" s="958"/>
      <c r="V7" s="6"/>
      <c r="W7" s="6"/>
      <c r="X7" s="7"/>
      <c r="Y7" s="998" t="s">
        <v>16</v>
      </c>
      <c r="Z7" s="999"/>
      <c r="AA7" s="999"/>
      <c r="AB7" s="999"/>
      <c r="AC7" s="999"/>
      <c r="AD7" s="999"/>
      <c r="AE7" s="999"/>
      <c r="AF7" s="999"/>
      <c r="AG7" s="999"/>
      <c r="AH7" s="999"/>
      <c r="AI7" s="999"/>
      <c r="AJ7" s="999"/>
      <c r="AK7" s="999"/>
      <c r="AL7" s="999"/>
      <c r="AM7" s="999"/>
      <c r="AN7" s="1000"/>
      <c r="AO7" s="987" t="s">
        <v>17</v>
      </c>
      <c r="AP7" s="987" t="s">
        <v>18</v>
      </c>
      <c r="AQ7" s="987" t="s">
        <v>19</v>
      </c>
    </row>
    <row r="8" spans="1:61" s="9" customFormat="1" ht="12.75" customHeight="1">
      <c r="A8" s="1008"/>
      <c r="B8" s="1009"/>
      <c r="C8" s="1008"/>
      <c r="D8" s="1011"/>
      <c r="E8" s="1008"/>
      <c r="F8" s="1011"/>
      <c r="G8" s="1008"/>
      <c r="H8" s="1011"/>
      <c r="I8" s="1013"/>
      <c r="J8" s="1013"/>
      <c r="K8" s="1014"/>
      <c r="L8" s="1014"/>
      <c r="M8" s="1014"/>
      <c r="N8" s="1016"/>
      <c r="O8" s="1016"/>
      <c r="P8" s="1016"/>
      <c r="Q8" s="1016"/>
      <c r="R8" s="34"/>
      <c r="S8" s="959"/>
      <c r="T8" s="959"/>
      <c r="U8" s="959"/>
      <c r="V8" s="990" t="s">
        <v>20</v>
      </c>
      <c r="W8" s="991"/>
      <c r="X8" s="992"/>
      <c r="Y8" s="993" t="s">
        <v>21</v>
      </c>
      <c r="Z8" s="994"/>
      <c r="AA8" s="995" t="s">
        <v>22</v>
      </c>
      <c r="AB8" s="994"/>
      <c r="AC8" s="994"/>
      <c r="AD8" s="994"/>
      <c r="AE8" s="996" t="s">
        <v>23</v>
      </c>
      <c r="AF8" s="994"/>
      <c r="AG8" s="994"/>
      <c r="AH8" s="994"/>
      <c r="AI8" s="994"/>
      <c r="AJ8" s="994"/>
      <c r="AK8" s="995" t="s">
        <v>24</v>
      </c>
      <c r="AL8" s="994"/>
      <c r="AM8" s="994"/>
      <c r="AN8" s="997" t="s">
        <v>25</v>
      </c>
      <c r="AO8" s="988"/>
      <c r="AP8" s="988"/>
      <c r="AQ8" s="988"/>
      <c r="AR8" s="8"/>
      <c r="AS8" s="8"/>
      <c r="AT8" s="8"/>
      <c r="AU8" s="8"/>
      <c r="AV8" s="8"/>
      <c r="AW8" s="8"/>
      <c r="AX8" s="8"/>
      <c r="AY8" s="8"/>
      <c r="AZ8" s="8"/>
      <c r="BA8" s="8"/>
      <c r="BB8" s="8"/>
      <c r="BC8" s="8"/>
      <c r="BD8" s="8"/>
      <c r="BE8" s="8"/>
      <c r="BF8" s="8"/>
    </row>
    <row r="9" spans="1:61" s="16" customFormat="1" ht="55.5" customHeight="1">
      <c r="A9" s="10" t="s">
        <v>26</v>
      </c>
      <c r="B9" s="10" t="s">
        <v>27</v>
      </c>
      <c r="C9" s="10" t="s">
        <v>28</v>
      </c>
      <c r="D9" s="11" t="s">
        <v>29</v>
      </c>
      <c r="E9" s="11" t="s">
        <v>28</v>
      </c>
      <c r="F9" s="11" t="s">
        <v>29</v>
      </c>
      <c r="G9" s="12" t="s">
        <v>26</v>
      </c>
      <c r="H9" s="12" t="s">
        <v>29</v>
      </c>
      <c r="I9" s="12" t="s">
        <v>30</v>
      </c>
      <c r="J9" s="12" t="s">
        <v>31</v>
      </c>
      <c r="K9" s="39" t="s">
        <v>32</v>
      </c>
      <c r="L9" s="39" t="s">
        <v>33</v>
      </c>
      <c r="M9" s="39" t="s">
        <v>25</v>
      </c>
      <c r="N9" s="12" t="s">
        <v>34</v>
      </c>
      <c r="O9" s="12" t="s">
        <v>35</v>
      </c>
      <c r="P9" s="11" t="s">
        <v>36</v>
      </c>
      <c r="Q9" s="13" t="s">
        <v>37</v>
      </c>
      <c r="R9" s="35" t="s">
        <v>38</v>
      </c>
      <c r="S9" s="13" t="s">
        <v>39</v>
      </c>
      <c r="T9" s="13" t="s">
        <v>40</v>
      </c>
      <c r="U9" s="13" t="s">
        <v>41</v>
      </c>
      <c r="V9" s="10" t="s">
        <v>42</v>
      </c>
      <c r="W9" s="11" t="s">
        <v>26</v>
      </c>
      <c r="X9" s="11" t="s">
        <v>27</v>
      </c>
      <c r="Y9" s="14" t="s">
        <v>43</v>
      </c>
      <c r="Z9" s="15" t="s">
        <v>44</v>
      </c>
      <c r="AA9" s="14" t="s">
        <v>45</v>
      </c>
      <c r="AB9" s="14" t="s">
        <v>46</v>
      </c>
      <c r="AC9" s="14" t="s">
        <v>47</v>
      </c>
      <c r="AD9" s="14" t="s">
        <v>48</v>
      </c>
      <c r="AE9" s="14" t="s">
        <v>49</v>
      </c>
      <c r="AF9" s="14" t="s">
        <v>50</v>
      </c>
      <c r="AG9" s="14" t="s">
        <v>51</v>
      </c>
      <c r="AH9" s="14" t="s">
        <v>52</v>
      </c>
      <c r="AI9" s="14" t="s">
        <v>53</v>
      </c>
      <c r="AJ9" s="14" t="s">
        <v>54</v>
      </c>
      <c r="AK9" s="14" t="s">
        <v>55</v>
      </c>
      <c r="AL9" s="14" t="s">
        <v>56</v>
      </c>
      <c r="AM9" s="14" t="s">
        <v>57</v>
      </c>
      <c r="AN9" s="997"/>
      <c r="AO9" s="989"/>
      <c r="AP9" s="989"/>
      <c r="AQ9" s="989"/>
      <c r="AR9" s="8"/>
      <c r="AS9" s="8"/>
      <c r="AT9" s="8"/>
      <c r="AU9" s="8"/>
      <c r="AV9" s="8"/>
      <c r="AW9" s="8"/>
      <c r="AX9" s="8"/>
      <c r="AY9" s="8"/>
      <c r="AZ9" s="8"/>
      <c r="BA9" s="8"/>
      <c r="BB9" s="8"/>
      <c r="BC9" s="8"/>
      <c r="BD9" s="8"/>
      <c r="BE9" s="8"/>
      <c r="BF9" s="8"/>
    </row>
    <row r="10" spans="1:61" s="16" customFormat="1" ht="92.25" hidden="1" customHeight="1">
      <c r="A10" s="51">
        <v>3</v>
      </c>
      <c r="B10" s="52" t="s">
        <v>892</v>
      </c>
      <c r="C10" s="53">
        <v>23</v>
      </c>
      <c r="D10" s="54" t="s">
        <v>2357</v>
      </c>
      <c r="E10" s="53">
        <v>2301</v>
      </c>
      <c r="F10" s="54" t="s">
        <v>2358</v>
      </c>
      <c r="G10" s="53">
        <v>2301062</v>
      </c>
      <c r="H10" s="54" t="s">
        <v>2359</v>
      </c>
      <c r="I10" s="55">
        <v>230106200</v>
      </c>
      <c r="J10" s="56" t="s">
        <v>2360</v>
      </c>
      <c r="K10" s="55">
        <v>3000</v>
      </c>
      <c r="L10" s="55"/>
      <c r="M10" s="55">
        <f>+K10+L10</f>
        <v>3000</v>
      </c>
      <c r="N10" s="53">
        <v>2024003630004</v>
      </c>
      <c r="O10" s="57" t="s">
        <v>2361</v>
      </c>
      <c r="P10" s="58" t="s">
        <v>2362</v>
      </c>
      <c r="Q10" s="59">
        <v>14000000</v>
      </c>
      <c r="R10" s="60">
        <v>12000000</v>
      </c>
      <c r="S10" s="61"/>
      <c r="T10" s="61"/>
      <c r="U10" s="59">
        <v>14000000</v>
      </c>
      <c r="V10" s="62" t="s">
        <v>2363</v>
      </c>
      <c r="W10" s="63">
        <v>20</v>
      </c>
      <c r="X10" s="63" t="s">
        <v>2364</v>
      </c>
      <c r="Y10" s="64">
        <v>295972</v>
      </c>
      <c r="Z10" s="64">
        <v>285580</v>
      </c>
      <c r="AA10" s="64">
        <v>135545</v>
      </c>
      <c r="AB10" s="64">
        <v>44254</v>
      </c>
      <c r="AC10" s="64">
        <v>309146</v>
      </c>
      <c r="AD10" s="64">
        <v>92607</v>
      </c>
      <c r="AE10" s="64">
        <v>2145</v>
      </c>
      <c r="AF10" s="64">
        <v>12718</v>
      </c>
      <c r="AG10" s="65">
        <v>26</v>
      </c>
      <c r="AH10" s="65">
        <v>37</v>
      </c>
      <c r="AI10" s="65"/>
      <c r="AJ10" s="65"/>
      <c r="AK10" s="64">
        <v>44350</v>
      </c>
      <c r="AL10" s="64">
        <v>21944</v>
      </c>
      <c r="AM10" s="64">
        <v>75687</v>
      </c>
      <c r="AN10" s="66">
        <v>563076</v>
      </c>
      <c r="AO10" s="67">
        <v>46023</v>
      </c>
      <c r="AP10" s="67">
        <v>46387</v>
      </c>
      <c r="AQ10" s="68" t="s">
        <v>2365</v>
      </c>
      <c r="AR10" s="8"/>
      <c r="AS10" s="8"/>
      <c r="AT10" s="8"/>
      <c r="AU10" s="8"/>
      <c r="AV10" s="8"/>
      <c r="AW10" s="8"/>
      <c r="AX10" s="8"/>
      <c r="AY10" s="8"/>
      <c r="AZ10" s="8"/>
      <c r="BA10" s="8"/>
      <c r="BB10" s="8"/>
      <c r="BC10" s="8"/>
      <c r="BD10" s="8"/>
      <c r="BE10" s="8"/>
      <c r="BF10" s="8"/>
    </row>
    <row r="11" spans="1:61" s="16" customFormat="1" ht="75.75" hidden="1" customHeight="1">
      <c r="A11" s="53">
        <v>4</v>
      </c>
      <c r="B11" s="52" t="s">
        <v>58</v>
      </c>
      <c r="C11" s="53">
        <v>23</v>
      </c>
      <c r="D11" s="54" t="s">
        <v>2357</v>
      </c>
      <c r="E11" s="53">
        <v>2301</v>
      </c>
      <c r="F11" s="54" t="s">
        <v>2358</v>
      </c>
      <c r="G11" s="53">
        <v>2301004</v>
      </c>
      <c r="H11" s="56" t="s">
        <v>491</v>
      </c>
      <c r="I11" s="53">
        <v>230100400</v>
      </c>
      <c r="J11" s="56" t="s">
        <v>945</v>
      </c>
      <c r="K11" s="55">
        <v>1</v>
      </c>
      <c r="L11" s="55"/>
      <c r="M11" s="55">
        <f t="shared" ref="M11:M31" si="0">+K11+L11</f>
        <v>1</v>
      </c>
      <c r="N11" s="53">
        <v>2024003630004</v>
      </c>
      <c r="O11" s="57" t="s">
        <v>2366</v>
      </c>
      <c r="P11" s="58" t="s">
        <v>2367</v>
      </c>
      <c r="Q11" s="59">
        <v>63000000</v>
      </c>
      <c r="R11" s="60">
        <v>14800000</v>
      </c>
      <c r="S11" s="61"/>
      <c r="T11" s="61"/>
      <c r="U11" s="59">
        <v>63000000</v>
      </c>
      <c r="V11" s="62" t="s">
        <v>2368</v>
      </c>
      <c r="W11" s="63">
        <v>20</v>
      </c>
      <c r="X11" s="63" t="s">
        <v>2364</v>
      </c>
      <c r="Y11" s="64">
        <v>295972</v>
      </c>
      <c r="Z11" s="64">
        <v>285580</v>
      </c>
      <c r="AA11" s="64">
        <v>135545</v>
      </c>
      <c r="AB11" s="64">
        <v>44254</v>
      </c>
      <c r="AC11" s="64">
        <v>309146</v>
      </c>
      <c r="AD11" s="64">
        <v>92607</v>
      </c>
      <c r="AE11" s="64">
        <v>2145</v>
      </c>
      <c r="AF11" s="64">
        <v>12718</v>
      </c>
      <c r="AG11" s="65">
        <v>26</v>
      </c>
      <c r="AH11" s="65">
        <v>37</v>
      </c>
      <c r="AI11" s="65"/>
      <c r="AJ11" s="65"/>
      <c r="AK11" s="64">
        <v>44350</v>
      </c>
      <c r="AL11" s="64">
        <v>21944</v>
      </c>
      <c r="AM11" s="64">
        <v>75687</v>
      </c>
      <c r="AN11" s="66">
        <v>563076</v>
      </c>
      <c r="AO11" s="67">
        <v>46023</v>
      </c>
      <c r="AP11" s="67">
        <v>46387</v>
      </c>
      <c r="AQ11" s="68" t="s">
        <v>2365</v>
      </c>
      <c r="AR11" s="8"/>
      <c r="AS11" s="8"/>
      <c r="AT11" s="8"/>
      <c r="AU11" s="8"/>
      <c r="AV11" s="8"/>
      <c r="AW11" s="8"/>
      <c r="AX11" s="8"/>
      <c r="AY11" s="8"/>
      <c r="AZ11" s="8"/>
      <c r="BA11" s="8"/>
      <c r="BB11" s="8"/>
      <c r="BC11" s="8"/>
      <c r="BD11" s="8"/>
      <c r="BE11" s="8"/>
      <c r="BF11" s="8"/>
    </row>
    <row r="12" spans="1:61" s="16" customFormat="1" ht="75" customHeight="1">
      <c r="A12" s="51">
        <v>3</v>
      </c>
      <c r="B12" s="52" t="s">
        <v>892</v>
      </c>
      <c r="C12" s="53">
        <v>23</v>
      </c>
      <c r="D12" s="54" t="s">
        <v>2357</v>
      </c>
      <c r="E12" s="53">
        <v>2301</v>
      </c>
      <c r="F12" s="54" t="s">
        <v>2358</v>
      </c>
      <c r="G12" s="53">
        <v>2301030</v>
      </c>
      <c r="H12" s="54" t="s">
        <v>2369</v>
      </c>
      <c r="I12" s="55">
        <v>230103000</v>
      </c>
      <c r="J12" s="56" t="s">
        <v>2370</v>
      </c>
      <c r="K12" s="55">
        <v>4625</v>
      </c>
      <c r="L12" s="55"/>
      <c r="M12" s="55">
        <f t="shared" si="0"/>
        <v>4625</v>
      </c>
      <c r="N12" s="53">
        <v>2024003630004</v>
      </c>
      <c r="O12" s="57" t="s">
        <v>2366</v>
      </c>
      <c r="P12" s="58" t="s">
        <v>2371</v>
      </c>
      <c r="Q12" s="59">
        <v>414000000</v>
      </c>
      <c r="R12" s="60">
        <f>9600000+14800000+9600000+16000000+12000000+9600000+14800000+14800000+10800000+10800000+12000000+14800000+14800000+12000000+14800000+14800000+14800000+9600000+10800000+14800000</f>
        <v>256000000</v>
      </c>
      <c r="S12" s="61">
        <v>14800000</v>
      </c>
      <c r="T12" s="61"/>
      <c r="U12" s="59">
        <f>Q12-R12+S12-T12</f>
        <v>172800000</v>
      </c>
      <c r="V12" s="62" t="s">
        <v>2372</v>
      </c>
      <c r="W12" s="63">
        <v>20</v>
      </c>
      <c r="X12" s="63" t="s">
        <v>2364</v>
      </c>
      <c r="Y12" s="64">
        <v>295972</v>
      </c>
      <c r="Z12" s="64">
        <v>285580</v>
      </c>
      <c r="AA12" s="64">
        <v>135545</v>
      </c>
      <c r="AB12" s="64">
        <v>44254</v>
      </c>
      <c r="AC12" s="64">
        <v>309146</v>
      </c>
      <c r="AD12" s="64">
        <v>92607</v>
      </c>
      <c r="AE12" s="64">
        <v>2145</v>
      </c>
      <c r="AF12" s="64">
        <v>12718</v>
      </c>
      <c r="AG12" s="65">
        <v>26</v>
      </c>
      <c r="AH12" s="65">
        <v>37</v>
      </c>
      <c r="AI12" s="65"/>
      <c r="AJ12" s="65"/>
      <c r="AK12" s="64">
        <v>44350</v>
      </c>
      <c r="AL12" s="64">
        <v>21944</v>
      </c>
      <c r="AM12" s="64">
        <v>75687</v>
      </c>
      <c r="AN12" s="66">
        <v>563076</v>
      </c>
      <c r="AO12" s="67">
        <v>46023</v>
      </c>
      <c r="AP12" s="67">
        <v>46387</v>
      </c>
      <c r="AQ12" s="68" t="s">
        <v>2365</v>
      </c>
      <c r="AR12" s="8"/>
      <c r="AS12" s="8"/>
      <c r="AT12" s="8"/>
      <c r="AU12" s="8"/>
      <c r="AV12" s="8"/>
      <c r="AW12" s="8"/>
      <c r="AX12" s="8"/>
      <c r="AY12" s="8"/>
      <c r="AZ12" s="8"/>
      <c r="BA12" s="8"/>
      <c r="BB12" s="8"/>
      <c r="BC12" s="8"/>
      <c r="BD12" s="8"/>
      <c r="BE12" s="8"/>
      <c r="BF12" s="8"/>
    </row>
    <row r="13" spans="1:61" s="16" customFormat="1" ht="82.5" hidden="1" customHeight="1">
      <c r="A13" s="51">
        <v>3</v>
      </c>
      <c r="B13" s="52" t="s">
        <v>892</v>
      </c>
      <c r="C13" s="53">
        <v>23</v>
      </c>
      <c r="D13" s="54" t="s">
        <v>2357</v>
      </c>
      <c r="E13" s="53">
        <v>2301</v>
      </c>
      <c r="F13" s="54" t="s">
        <v>2358</v>
      </c>
      <c r="G13" s="53">
        <v>2301035</v>
      </c>
      <c r="H13" s="54" t="s">
        <v>2373</v>
      </c>
      <c r="I13" s="55">
        <v>230103500</v>
      </c>
      <c r="J13" s="56" t="s">
        <v>2374</v>
      </c>
      <c r="K13" s="55">
        <v>100</v>
      </c>
      <c r="L13" s="55"/>
      <c r="M13" s="55">
        <f t="shared" si="0"/>
        <v>100</v>
      </c>
      <c r="N13" s="53">
        <v>2024003630004</v>
      </c>
      <c r="O13" s="57" t="s">
        <v>2366</v>
      </c>
      <c r="P13" s="58" t="s">
        <v>2375</v>
      </c>
      <c r="Q13" s="59">
        <v>92300000</v>
      </c>
      <c r="R13" s="60">
        <f>16000000+12000000</f>
        <v>28000000</v>
      </c>
      <c r="S13" s="61"/>
      <c r="T13" s="61"/>
      <c r="U13" s="59">
        <v>92300000</v>
      </c>
      <c r="V13" s="69" t="s">
        <v>2376</v>
      </c>
      <c r="W13" s="63">
        <v>20</v>
      </c>
      <c r="X13" s="63" t="s">
        <v>2364</v>
      </c>
      <c r="Y13" s="64">
        <v>295972</v>
      </c>
      <c r="Z13" s="64">
        <v>285580</v>
      </c>
      <c r="AA13" s="64">
        <v>135545</v>
      </c>
      <c r="AB13" s="64">
        <v>44254</v>
      </c>
      <c r="AC13" s="64">
        <v>309146</v>
      </c>
      <c r="AD13" s="64">
        <v>92607</v>
      </c>
      <c r="AE13" s="64">
        <v>2145</v>
      </c>
      <c r="AF13" s="64">
        <v>12718</v>
      </c>
      <c r="AG13" s="65">
        <v>26</v>
      </c>
      <c r="AH13" s="65">
        <v>37</v>
      </c>
      <c r="AI13" s="65"/>
      <c r="AJ13" s="65"/>
      <c r="AK13" s="64">
        <v>44350</v>
      </c>
      <c r="AL13" s="64">
        <v>21944</v>
      </c>
      <c r="AM13" s="64">
        <v>75687</v>
      </c>
      <c r="AN13" s="66">
        <v>563076</v>
      </c>
      <c r="AO13" s="67">
        <v>46023</v>
      </c>
      <c r="AP13" s="67">
        <v>46387</v>
      </c>
      <c r="AQ13" s="70" t="s">
        <v>2365</v>
      </c>
      <c r="AR13" s="8"/>
      <c r="AS13" s="8"/>
      <c r="AT13" s="8"/>
      <c r="AU13" s="8"/>
      <c r="AV13" s="8"/>
      <c r="AW13" s="8"/>
      <c r="AX13" s="8"/>
      <c r="AY13" s="8"/>
      <c r="AZ13" s="8"/>
      <c r="BA13" s="8"/>
      <c r="BB13" s="8"/>
      <c r="BC13" s="8"/>
      <c r="BD13" s="8"/>
      <c r="BE13" s="8"/>
      <c r="BF13" s="8"/>
    </row>
    <row r="14" spans="1:61" s="16" customFormat="1" ht="77.25" hidden="1" customHeight="1">
      <c r="A14" s="71">
        <v>3</v>
      </c>
      <c r="B14" s="52" t="s">
        <v>892</v>
      </c>
      <c r="C14" s="53">
        <v>23</v>
      </c>
      <c r="D14" s="54" t="s">
        <v>2357</v>
      </c>
      <c r="E14" s="53">
        <v>2301</v>
      </c>
      <c r="F14" s="54" t="s">
        <v>2358</v>
      </c>
      <c r="G14" s="53">
        <v>2301035</v>
      </c>
      <c r="H14" s="54" t="s">
        <v>2373</v>
      </c>
      <c r="I14" s="55">
        <v>230103501</v>
      </c>
      <c r="J14" s="54" t="s">
        <v>2377</v>
      </c>
      <c r="K14" s="55">
        <v>1</v>
      </c>
      <c r="L14" s="55"/>
      <c r="M14" s="55">
        <f t="shared" si="0"/>
        <v>1</v>
      </c>
      <c r="N14" s="53">
        <v>2024003630004</v>
      </c>
      <c r="O14" s="57" t="s">
        <v>2366</v>
      </c>
      <c r="P14" s="58" t="s">
        <v>2378</v>
      </c>
      <c r="Q14" s="72">
        <v>30000000</v>
      </c>
      <c r="R14" s="60"/>
      <c r="S14" s="61"/>
      <c r="T14" s="61"/>
      <c r="U14" s="72">
        <v>30000000</v>
      </c>
      <c r="V14" s="69" t="s">
        <v>2376</v>
      </c>
      <c r="W14" s="63">
        <v>20</v>
      </c>
      <c r="X14" s="63" t="s">
        <v>2364</v>
      </c>
      <c r="Y14" s="64">
        <v>295972</v>
      </c>
      <c r="Z14" s="64">
        <v>285580</v>
      </c>
      <c r="AA14" s="64">
        <v>135545</v>
      </c>
      <c r="AB14" s="64">
        <v>44254</v>
      </c>
      <c r="AC14" s="64">
        <v>309146</v>
      </c>
      <c r="AD14" s="64">
        <v>92607</v>
      </c>
      <c r="AE14" s="64">
        <v>2145</v>
      </c>
      <c r="AF14" s="64">
        <v>12718</v>
      </c>
      <c r="AG14" s="65">
        <v>26</v>
      </c>
      <c r="AH14" s="65">
        <v>37</v>
      </c>
      <c r="AI14" s="65"/>
      <c r="AJ14" s="65"/>
      <c r="AK14" s="64">
        <v>44350</v>
      </c>
      <c r="AL14" s="64">
        <v>21944</v>
      </c>
      <c r="AM14" s="64">
        <v>75687</v>
      </c>
      <c r="AN14" s="66">
        <v>563076</v>
      </c>
      <c r="AO14" s="67">
        <v>46023</v>
      </c>
      <c r="AP14" s="67">
        <v>46387</v>
      </c>
      <c r="AQ14" s="73" t="s">
        <v>2365</v>
      </c>
      <c r="AR14" s="8"/>
      <c r="AS14" s="8"/>
      <c r="AT14" s="8"/>
      <c r="AU14" s="8"/>
      <c r="AV14" s="8"/>
      <c r="AW14" s="8"/>
      <c r="AX14" s="8"/>
      <c r="AY14" s="8"/>
      <c r="AZ14" s="8"/>
      <c r="BA14" s="8"/>
      <c r="BB14" s="8"/>
      <c r="BC14" s="8"/>
      <c r="BD14" s="8"/>
      <c r="BE14" s="8"/>
      <c r="BF14" s="8"/>
    </row>
    <row r="15" spans="1:61" s="16" customFormat="1" ht="75" hidden="1" customHeight="1">
      <c r="A15" s="74">
        <v>3</v>
      </c>
      <c r="B15" s="75" t="s">
        <v>892</v>
      </c>
      <c r="C15" s="76">
        <v>23</v>
      </c>
      <c r="D15" s="77" t="s">
        <v>2357</v>
      </c>
      <c r="E15" s="76">
        <v>2301</v>
      </c>
      <c r="F15" s="77" t="s">
        <v>2358</v>
      </c>
      <c r="G15" s="76">
        <v>2301024</v>
      </c>
      <c r="H15" s="77" t="s">
        <v>2379</v>
      </c>
      <c r="I15" s="78">
        <v>230102400</v>
      </c>
      <c r="J15" s="79" t="s">
        <v>2380</v>
      </c>
      <c r="K15" s="78">
        <v>15</v>
      </c>
      <c r="L15" s="78"/>
      <c r="M15" s="78">
        <f t="shared" si="0"/>
        <v>15</v>
      </c>
      <c r="N15" s="76">
        <v>2024003630005</v>
      </c>
      <c r="O15" s="80" t="s">
        <v>2381</v>
      </c>
      <c r="P15" s="81" t="s">
        <v>2382</v>
      </c>
      <c r="Q15" s="82">
        <v>123000000</v>
      </c>
      <c r="R15" s="60">
        <f>14800000+10800000+10800000+9600000</f>
        <v>46000000</v>
      </c>
      <c r="S15" s="61">
        <v>9600000</v>
      </c>
      <c r="T15" s="61"/>
      <c r="U15" s="82">
        <v>123000000</v>
      </c>
      <c r="V15" s="62" t="s">
        <v>2383</v>
      </c>
      <c r="W15" s="63">
        <v>20</v>
      </c>
      <c r="X15" s="63" t="s">
        <v>2364</v>
      </c>
      <c r="Y15" s="64">
        <v>295972</v>
      </c>
      <c r="Z15" s="64">
        <v>285580</v>
      </c>
      <c r="AA15" s="64">
        <v>135545</v>
      </c>
      <c r="AB15" s="64">
        <v>44254</v>
      </c>
      <c r="AC15" s="64">
        <v>309146</v>
      </c>
      <c r="AD15" s="64">
        <v>92607</v>
      </c>
      <c r="AE15" s="64">
        <v>2145</v>
      </c>
      <c r="AF15" s="64">
        <v>12718</v>
      </c>
      <c r="AG15" s="65">
        <v>26</v>
      </c>
      <c r="AH15" s="65">
        <v>37</v>
      </c>
      <c r="AI15" s="65"/>
      <c r="AJ15" s="65"/>
      <c r="AK15" s="64">
        <v>44350</v>
      </c>
      <c r="AL15" s="64">
        <v>21944</v>
      </c>
      <c r="AM15" s="64">
        <v>75687</v>
      </c>
      <c r="AN15" s="66">
        <v>563076</v>
      </c>
      <c r="AO15" s="67">
        <v>46023</v>
      </c>
      <c r="AP15" s="67">
        <v>46387</v>
      </c>
      <c r="AQ15" s="70" t="s">
        <v>2365</v>
      </c>
      <c r="AR15" s="8"/>
      <c r="AS15" s="8"/>
      <c r="AT15" s="8"/>
      <c r="AU15" s="8"/>
      <c r="AV15" s="8"/>
      <c r="AW15" s="8"/>
      <c r="AX15" s="8"/>
      <c r="AY15" s="8"/>
      <c r="AZ15" s="8"/>
      <c r="BA15" s="8"/>
      <c r="BB15" s="8"/>
      <c r="BC15" s="8"/>
      <c r="BD15" s="8"/>
      <c r="BE15" s="8"/>
      <c r="BF15" s="8"/>
    </row>
    <row r="16" spans="1:61" s="16" customFormat="1" ht="119.25" hidden="1" customHeight="1">
      <c r="A16" s="74">
        <v>3</v>
      </c>
      <c r="B16" s="75" t="s">
        <v>892</v>
      </c>
      <c r="C16" s="76">
        <v>23</v>
      </c>
      <c r="D16" s="77" t="s">
        <v>2357</v>
      </c>
      <c r="E16" s="76">
        <v>2301</v>
      </c>
      <c r="F16" s="77" t="s">
        <v>2358</v>
      </c>
      <c r="G16" s="76" t="s">
        <v>2384</v>
      </c>
      <c r="H16" s="77" t="s">
        <v>2385</v>
      </c>
      <c r="I16" s="78">
        <v>230102800</v>
      </c>
      <c r="J16" s="79" t="s">
        <v>2386</v>
      </c>
      <c r="K16" s="78">
        <v>4</v>
      </c>
      <c r="L16" s="78"/>
      <c r="M16" s="78">
        <f t="shared" si="0"/>
        <v>4</v>
      </c>
      <c r="N16" s="76">
        <v>2024003630005</v>
      </c>
      <c r="O16" s="80" t="s">
        <v>2381</v>
      </c>
      <c r="P16" s="81" t="s">
        <v>2387</v>
      </c>
      <c r="Q16" s="82">
        <v>104000000</v>
      </c>
      <c r="R16" s="60">
        <f>6000000+14800000+20000000+14800000</f>
        <v>55600000</v>
      </c>
      <c r="S16" s="61">
        <v>14800000</v>
      </c>
      <c r="T16" s="61"/>
      <c r="U16" s="82">
        <f>Q16-R16+S16-T16</f>
        <v>63200000</v>
      </c>
      <c r="V16" s="62" t="s">
        <v>2388</v>
      </c>
      <c r="W16" s="63">
        <v>20</v>
      </c>
      <c r="X16" s="63" t="s">
        <v>2364</v>
      </c>
      <c r="Y16" s="64">
        <v>295972</v>
      </c>
      <c r="Z16" s="64">
        <v>285580</v>
      </c>
      <c r="AA16" s="64">
        <v>135545</v>
      </c>
      <c r="AB16" s="64">
        <v>44254</v>
      </c>
      <c r="AC16" s="64">
        <v>309146</v>
      </c>
      <c r="AD16" s="64">
        <v>92607</v>
      </c>
      <c r="AE16" s="64">
        <v>2145</v>
      </c>
      <c r="AF16" s="64">
        <v>12718</v>
      </c>
      <c r="AG16" s="65">
        <v>26</v>
      </c>
      <c r="AH16" s="65">
        <v>37</v>
      </c>
      <c r="AI16" s="65"/>
      <c r="AJ16" s="65"/>
      <c r="AK16" s="64">
        <v>44350</v>
      </c>
      <c r="AL16" s="64">
        <v>21944</v>
      </c>
      <c r="AM16" s="64">
        <v>75687</v>
      </c>
      <c r="AN16" s="66">
        <v>563076</v>
      </c>
      <c r="AO16" s="67">
        <v>46023</v>
      </c>
      <c r="AP16" s="67">
        <v>46387</v>
      </c>
      <c r="AQ16" s="73" t="s">
        <v>2365</v>
      </c>
      <c r="AR16" s="8"/>
      <c r="AS16" s="8"/>
      <c r="AT16" s="8"/>
      <c r="AU16" s="8"/>
      <c r="AV16" s="8"/>
      <c r="AW16" s="8"/>
      <c r="AX16" s="8"/>
      <c r="AY16" s="8"/>
      <c r="AZ16" s="8"/>
      <c r="BA16" s="8"/>
      <c r="BB16" s="8"/>
      <c r="BC16" s="8"/>
      <c r="BD16" s="8"/>
      <c r="BE16" s="8"/>
      <c r="BF16" s="8"/>
    </row>
    <row r="17" spans="1:58" s="16" customFormat="1" ht="78" hidden="1" customHeight="1">
      <c r="A17" s="74">
        <v>3</v>
      </c>
      <c r="B17" s="75" t="s">
        <v>892</v>
      </c>
      <c r="C17" s="76">
        <v>23</v>
      </c>
      <c r="D17" s="77" t="s">
        <v>2357</v>
      </c>
      <c r="E17" s="76">
        <v>2301</v>
      </c>
      <c r="F17" s="77" t="s">
        <v>2358</v>
      </c>
      <c r="G17" s="76" t="s">
        <v>2389</v>
      </c>
      <c r="H17" s="77" t="s">
        <v>2390</v>
      </c>
      <c r="I17" s="78">
        <v>230102700</v>
      </c>
      <c r="J17" s="79" t="s">
        <v>2391</v>
      </c>
      <c r="K17" s="74" t="s">
        <v>2392</v>
      </c>
      <c r="L17" s="74"/>
      <c r="M17" s="74">
        <f t="shared" si="0"/>
        <v>10</v>
      </c>
      <c r="N17" s="76">
        <v>2024003630005</v>
      </c>
      <c r="O17" s="80" t="s">
        <v>2381</v>
      </c>
      <c r="P17" s="81" t="s">
        <v>2393</v>
      </c>
      <c r="Q17" s="82">
        <v>30000000</v>
      </c>
      <c r="R17" s="60">
        <f>14800000+4000000</f>
        <v>18800000</v>
      </c>
      <c r="S17" s="61"/>
      <c r="T17" s="61"/>
      <c r="U17" s="82">
        <v>30000000</v>
      </c>
      <c r="V17" s="62" t="s">
        <v>2394</v>
      </c>
      <c r="W17" s="63">
        <v>20</v>
      </c>
      <c r="X17" s="63" t="s">
        <v>2364</v>
      </c>
      <c r="Y17" s="64">
        <v>295972</v>
      </c>
      <c r="Z17" s="64">
        <v>285580</v>
      </c>
      <c r="AA17" s="64">
        <v>135545</v>
      </c>
      <c r="AB17" s="64">
        <v>44254</v>
      </c>
      <c r="AC17" s="64">
        <v>309146</v>
      </c>
      <c r="AD17" s="64">
        <v>92607</v>
      </c>
      <c r="AE17" s="64">
        <v>2145</v>
      </c>
      <c r="AF17" s="64">
        <v>12718</v>
      </c>
      <c r="AG17" s="65">
        <v>26</v>
      </c>
      <c r="AH17" s="65">
        <v>37</v>
      </c>
      <c r="AI17" s="83"/>
      <c r="AJ17" s="83"/>
      <c r="AK17" s="64">
        <v>44350</v>
      </c>
      <c r="AL17" s="64">
        <v>21944</v>
      </c>
      <c r="AM17" s="64">
        <v>75687</v>
      </c>
      <c r="AN17" s="66">
        <v>563076</v>
      </c>
      <c r="AO17" s="67">
        <v>46023</v>
      </c>
      <c r="AP17" s="67">
        <v>46387</v>
      </c>
      <c r="AQ17" s="73" t="s">
        <v>2365</v>
      </c>
      <c r="AR17" s="8"/>
      <c r="AS17" s="8"/>
      <c r="AT17" s="8"/>
      <c r="AU17" s="8"/>
      <c r="AV17" s="8"/>
      <c r="AW17" s="8"/>
      <c r="AX17" s="8"/>
      <c r="AY17" s="8"/>
      <c r="AZ17" s="8"/>
      <c r="BA17" s="8"/>
      <c r="BB17" s="8"/>
      <c r="BC17" s="8"/>
      <c r="BD17" s="8"/>
      <c r="BE17" s="8"/>
      <c r="BF17" s="8"/>
    </row>
    <row r="18" spans="1:58" s="16" customFormat="1" ht="81.75" hidden="1" customHeight="1">
      <c r="A18" s="84">
        <v>3</v>
      </c>
      <c r="B18" s="75" t="s">
        <v>892</v>
      </c>
      <c r="C18" s="76">
        <v>23</v>
      </c>
      <c r="D18" s="77" t="s">
        <v>2357</v>
      </c>
      <c r="E18" s="76">
        <v>2301</v>
      </c>
      <c r="F18" s="77" t="s">
        <v>2358</v>
      </c>
      <c r="G18" s="76">
        <v>2301079</v>
      </c>
      <c r="H18" s="77" t="s">
        <v>2395</v>
      </c>
      <c r="I18" s="78">
        <v>230107904</v>
      </c>
      <c r="J18" s="79" t="s">
        <v>2396</v>
      </c>
      <c r="K18" s="78">
        <v>112</v>
      </c>
      <c r="L18" s="78"/>
      <c r="M18" s="74">
        <f t="shared" si="0"/>
        <v>112</v>
      </c>
      <c r="N18" s="76">
        <v>2024003630005</v>
      </c>
      <c r="O18" s="80" t="s">
        <v>2381</v>
      </c>
      <c r="P18" s="81" t="s">
        <v>2397</v>
      </c>
      <c r="Q18" s="82">
        <v>29200000</v>
      </c>
      <c r="R18" s="60">
        <v>4000000</v>
      </c>
      <c r="S18" s="61"/>
      <c r="T18" s="61"/>
      <c r="U18" s="82">
        <v>29200000</v>
      </c>
      <c r="V18" s="62" t="s">
        <v>2398</v>
      </c>
      <c r="W18" s="63">
        <v>20</v>
      </c>
      <c r="X18" s="63" t="s">
        <v>2364</v>
      </c>
      <c r="Y18" s="64">
        <v>295972</v>
      </c>
      <c r="Z18" s="64">
        <v>285580</v>
      </c>
      <c r="AA18" s="64">
        <v>135545</v>
      </c>
      <c r="AB18" s="64">
        <v>44254</v>
      </c>
      <c r="AC18" s="64">
        <v>309146</v>
      </c>
      <c r="AD18" s="64">
        <v>92607</v>
      </c>
      <c r="AE18" s="64">
        <v>2145</v>
      </c>
      <c r="AF18" s="64">
        <v>12718</v>
      </c>
      <c r="AG18" s="65">
        <v>26</v>
      </c>
      <c r="AH18" s="65">
        <v>37</v>
      </c>
      <c r="AI18" s="83"/>
      <c r="AJ18" s="83"/>
      <c r="AK18" s="64">
        <v>44350</v>
      </c>
      <c r="AL18" s="64">
        <v>21944</v>
      </c>
      <c r="AM18" s="64">
        <v>75687</v>
      </c>
      <c r="AN18" s="66">
        <v>563076</v>
      </c>
      <c r="AO18" s="67">
        <v>46023</v>
      </c>
      <c r="AP18" s="67">
        <v>46387</v>
      </c>
      <c r="AQ18" s="73" t="s">
        <v>2365</v>
      </c>
      <c r="AR18" s="8"/>
      <c r="AS18" s="8"/>
      <c r="AT18" s="8"/>
      <c r="AU18" s="8"/>
      <c r="AV18" s="8"/>
      <c r="AW18" s="8"/>
      <c r="AX18" s="8"/>
      <c r="AY18" s="8"/>
      <c r="AZ18" s="8"/>
      <c r="BA18" s="8"/>
      <c r="BB18" s="8"/>
      <c r="BC18" s="8"/>
      <c r="BD18" s="8"/>
      <c r="BE18" s="8"/>
      <c r="BF18" s="8"/>
    </row>
    <row r="19" spans="1:58" s="16" customFormat="1" ht="78.75" hidden="1" customHeight="1">
      <c r="A19" s="84">
        <v>3</v>
      </c>
      <c r="B19" s="75" t="s">
        <v>892</v>
      </c>
      <c r="C19" s="76">
        <v>23</v>
      </c>
      <c r="D19" s="77" t="s">
        <v>2357</v>
      </c>
      <c r="E19" s="76">
        <v>2301</v>
      </c>
      <c r="F19" s="77" t="s">
        <v>2358</v>
      </c>
      <c r="G19" s="76" t="s">
        <v>2399</v>
      </c>
      <c r="H19" s="77" t="s">
        <v>2395</v>
      </c>
      <c r="I19" s="76">
        <v>230107900</v>
      </c>
      <c r="J19" s="77" t="s">
        <v>2400</v>
      </c>
      <c r="K19" s="78">
        <v>2</v>
      </c>
      <c r="L19" s="78"/>
      <c r="M19" s="74">
        <f t="shared" si="0"/>
        <v>2</v>
      </c>
      <c r="N19" s="76">
        <v>2024003630005</v>
      </c>
      <c r="O19" s="80" t="s">
        <v>2381</v>
      </c>
      <c r="P19" s="81" t="s">
        <v>2401</v>
      </c>
      <c r="Q19" s="82">
        <v>30000000</v>
      </c>
      <c r="R19" s="60">
        <f>14800000+4000000</f>
        <v>18800000</v>
      </c>
      <c r="S19" s="61"/>
      <c r="T19" s="61"/>
      <c r="U19" s="82">
        <v>30000000</v>
      </c>
      <c r="V19" s="62" t="s">
        <v>2398</v>
      </c>
      <c r="W19" s="63">
        <v>20</v>
      </c>
      <c r="X19" s="63" t="s">
        <v>2364</v>
      </c>
      <c r="Y19" s="64">
        <v>295972</v>
      </c>
      <c r="Z19" s="64">
        <v>285580</v>
      </c>
      <c r="AA19" s="64">
        <v>135545</v>
      </c>
      <c r="AB19" s="64">
        <v>44254</v>
      </c>
      <c r="AC19" s="64">
        <v>309146</v>
      </c>
      <c r="AD19" s="64">
        <v>92607</v>
      </c>
      <c r="AE19" s="64">
        <v>2145</v>
      </c>
      <c r="AF19" s="64">
        <v>12718</v>
      </c>
      <c r="AG19" s="65">
        <v>26</v>
      </c>
      <c r="AH19" s="65">
        <v>37</v>
      </c>
      <c r="AI19" s="83"/>
      <c r="AJ19" s="83"/>
      <c r="AK19" s="64">
        <v>44350</v>
      </c>
      <c r="AL19" s="64">
        <v>21944</v>
      </c>
      <c r="AM19" s="64">
        <v>75687</v>
      </c>
      <c r="AN19" s="66">
        <v>563076</v>
      </c>
      <c r="AO19" s="67">
        <v>46023</v>
      </c>
      <c r="AP19" s="67">
        <v>46387</v>
      </c>
      <c r="AQ19" s="73" t="s">
        <v>2365</v>
      </c>
      <c r="AR19" s="8"/>
      <c r="AS19" s="8"/>
      <c r="AT19" s="8"/>
      <c r="AU19" s="8"/>
      <c r="AV19" s="8"/>
      <c r="AW19" s="8"/>
      <c r="AX19" s="8"/>
      <c r="AY19" s="8"/>
      <c r="AZ19" s="8"/>
      <c r="BA19" s="8"/>
      <c r="BB19" s="8"/>
      <c r="BC19" s="8"/>
      <c r="BD19" s="8"/>
      <c r="BE19" s="8"/>
      <c r="BF19" s="8"/>
    </row>
    <row r="20" spans="1:58" s="16" customFormat="1" ht="55.5" hidden="1" customHeight="1">
      <c r="A20" s="84">
        <v>2</v>
      </c>
      <c r="B20" s="75" t="s">
        <v>326</v>
      </c>
      <c r="C20" s="76">
        <v>39</v>
      </c>
      <c r="D20" s="77" t="s">
        <v>906</v>
      </c>
      <c r="E20" s="76">
        <v>3906</v>
      </c>
      <c r="F20" s="77" t="s">
        <v>907</v>
      </c>
      <c r="G20" s="76">
        <v>3906012</v>
      </c>
      <c r="H20" s="77" t="s">
        <v>1652</v>
      </c>
      <c r="I20" s="76">
        <v>390601200</v>
      </c>
      <c r="J20" s="77" t="s">
        <v>1653</v>
      </c>
      <c r="K20" s="78">
        <v>1</v>
      </c>
      <c r="L20" s="78"/>
      <c r="M20" s="78">
        <f t="shared" si="0"/>
        <v>1</v>
      </c>
      <c r="N20" s="76">
        <v>2024003630024</v>
      </c>
      <c r="O20" s="80" t="s">
        <v>2402</v>
      </c>
      <c r="P20" s="57" t="s">
        <v>2403</v>
      </c>
      <c r="Q20" s="82">
        <v>40000000</v>
      </c>
      <c r="R20" s="60"/>
      <c r="S20" s="61"/>
      <c r="T20" s="61"/>
      <c r="U20" s="82">
        <v>40000000</v>
      </c>
      <c r="V20" s="62" t="s">
        <v>2404</v>
      </c>
      <c r="W20" s="63">
        <v>20</v>
      </c>
      <c r="X20" s="63" t="s">
        <v>2364</v>
      </c>
      <c r="Y20" s="64">
        <v>295972</v>
      </c>
      <c r="Z20" s="64">
        <v>285580</v>
      </c>
      <c r="AA20" s="64">
        <v>135545</v>
      </c>
      <c r="AB20" s="64">
        <v>44254</v>
      </c>
      <c r="AC20" s="64">
        <v>309146</v>
      </c>
      <c r="AD20" s="64">
        <v>92607</v>
      </c>
      <c r="AE20" s="64">
        <v>2145</v>
      </c>
      <c r="AF20" s="64">
        <v>12718</v>
      </c>
      <c r="AG20" s="65">
        <v>26</v>
      </c>
      <c r="AH20" s="65">
        <v>37</v>
      </c>
      <c r="AI20" s="65"/>
      <c r="AJ20" s="65"/>
      <c r="AK20" s="64">
        <v>44350</v>
      </c>
      <c r="AL20" s="64">
        <v>21944</v>
      </c>
      <c r="AM20" s="64">
        <v>75687</v>
      </c>
      <c r="AN20" s="66">
        <v>581552</v>
      </c>
      <c r="AO20" s="67">
        <v>46023</v>
      </c>
      <c r="AP20" s="67">
        <v>46387</v>
      </c>
      <c r="AQ20" s="70" t="s">
        <v>2365</v>
      </c>
      <c r="AR20" s="8"/>
      <c r="AS20" s="8"/>
      <c r="AT20" s="8"/>
      <c r="AU20" s="8"/>
      <c r="AV20" s="8"/>
      <c r="AW20" s="8"/>
      <c r="AX20" s="8"/>
      <c r="AY20" s="8"/>
      <c r="AZ20" s="8"/>
      <c r="BA20" s="8"/>
      <c r="BB20" s="8"/>
      <c r="BC20" s="8"/>
      <c r="BD20" s="8"/>
      <c r="BE20" s="8"/>
      <c r="BF20" s="8"/>
    </row>
    <row r="21" spans="1:58" s="16" customFormat="1" ht="55.5" hidden="1" customHeight="1">
      <c r="A21" s="85">
        <v>2</v>
      </c>
      <c r="B21" s="75" t="s">
        <v>326</v>
      </c>
      <c r="C21" s="76">
        <v>39</v>
      </c>
      <c r="D21" s="77" t="s">
        <v>906</v>
      </c>
      <c r="E21" s="76">
        <v>3906</v>
      </c>
      <c r="F21" s="77" t="s">
        <v>907</v>
      </c>
      <c r="G21" s="76" t="s">
        <v>2405</v>
      </c>
      <c r="H21" s="77" t="s">
        <v>2406</v>
      </c>
      <c r="I21" s="76">
        <v>390601100</v>
      </c>
      <c r="J21" s="77" t="s">
        <v>2407</v>
      </c>
      <c r="K21" s="78">
        <v>1</v>
      </c>
      <c r="L21" s="78"/>
      <c r="M21" s="78">
        <f t="shared" si="0"/>
        <v>1</v>
      </c>
      <c r="N21" s="76">
        <v>2024003630024</v>
      </c>
      <c r="O21" s="80" t="s">
        <v>2402</v>
      </c>
      <c r="P21" s="54" t="s">
        <v>2408</v>
      </c>
      <c r="Q21" s="82">
        <v>33000000</v>
      </c>
      <c r="R21" s="60"/>
      <c r="S21" s="61"/>
      <c r="T21" s="61"/>
      <c r="U21" s="82">
        <v>33000000</v>
      </c>
      <c r="V21" s="62" t="s">
        <v>2409</v>
      </c>
      <c r="W21" s="63">
        <v>20</v>
      </c>
      <c r="X21" s="63" t="s">
        <v>2364</v>
      </c>
      <c r="Y21" s="64">
        <v>295972</v>
      </c>
      <c r="Z21" s="64">
        <v>285580</v>
      </c>
      <c r="AA21" s="64">
        <v>135545</v>
      </c>
      <c r="AB21" s="64">
        <v>44254</v>
      </c>
      <c r="AC21" s="64">
        <v>309146</v>
      </c>
      <c r="AD21" s="64">
        <v>92607</v>
      </c>
      <c r="AE21" s="64">
        <v>2145</v>
      </c>
      <c r="AF21" s="64">
        <v>12718</v>
      </c>
      <c r="AG21" s="65">
        <v>26</v>
      </c>
      <c r="AH21" s="65">
        <v>37</v>
      </c>
      <c r="AI21" s="65"/>
      <c r="AJ21" s="65"/>
      <c r="AK21" s="64">
        <v>44350</v>
      </c>
      <c r="AL21" s="64">
        <v>21944</v>
      </c>
      <c r="AM21" s="64">
        <v>75687</v>
      </c>
      <c r="AN21" s="66">
        <v>581552</v>
      </c>
      <c r="AO21" s="67">
        <v>46023</v>
      </c>
      <c r="AP21" s="67">
        <v>46387</v>
      </c>
      <c r="AQ21" s="73" t="s">
        <v>2365</v>
      </c>
      <c r="AR21" s="8"/>
      <c r="AS21" s="8"/>
      <c r="AT21" s="8"/>
      <c r="AU21" s="8"/>
      <c r="AV21" s="8"/>
      <c r="AW21" s="8"/>
      <c r="AX21" s="8"/>
      <c r="AY21" s="8"/>
      <c r="AZ21" s="8"/>
      <c r="BA21" s="8"/>
      <c r="BB21" s="8"/>
      <c r="BC21" s="8"/>
      <c r="BD21" s="8"/>
      <c r="BE21" s="8"/>
      <c r="BF21" s="8"/>
    </row>
    <row r="22" spans="1:58" s="16" customFormat="1" ht="63.75" hidden="1" customHeight="1">
      <c r="A22" s="86">
        <v>4</v>
      </c>
      <c r="B22" s="75" t="s">
        <v>58</v>
      </c>
      <c r="C22" s="76">
        <v>23</v>
      </c>
      <c r="D22" s="77" t="s">
        <v>2357</v>
      </c>
      <c r="E22" s="76">
        <v>2302</v>
      </c>
      <c r="F22" s="77" t="s">
        <v>2410</v>
      </c>
      <c r="G22" s="76">
        <v>2302004</v>
      </c>
      <c r="H22" s="77" t="s">
        <v>220</v>
      </c>
      <c r="I22" s="87">
        <v>230200401</v>
      </c>
      <c r="J22" s="79" t="s">
        <v>2411</v>
      </c>
      <c r="K22" s="78">
        <v>1</v>
      </c>
      <c r="L22" s="78"/>
      <c r="M22" s="78">
        <f t="shared" si="0"/>
        <v>1</v>
      </c>
      <c r="N22" s="76">
        <v>2024003630026</v>
      </c>
      <c r="O22" s="80" t="s">
        <v>2412</v>
      </c>
      <c r="P22" s="57" t="s">
        <v>2413</v>
      </c>
      <c r="Q22" s="82">
        <v>70000000</v>
      </c>
      <c r="R22" s="60">
        <f>14800000+9600000+16000000</f>
        <v>40400000</v>
      </c>
      <c r="S22" s="61"/>
      <c r="T22" s="61"/>
      <c r="U22" s="82">
        <f>Q22-R22+S22-T22</f>
        <v>29600000</v>
      </c>
      <c r="V22" s="62" t="s">
        <v>2414</v>
      </c>
      <c r="W22" s="63">
        <v>20</v>
      </c>
      <c r="X22" s="63" t="s">
        <v>2364</v>
      </c>
      <c r="Y22" s="64">
        <v>295972</v>
      </c>
      <c r="Z22" s="64">
        <v>285580</v>
      </c>
      <c r="AA22" s="64">
        <v>135545</v>
      </c>
      <c r="AB22" s="64">
        <v>44254</v>
      </c>
      <c r="AC22" s="64">
        <v>309146</v>
      </c>
      <c r="AD22" s="64">
        <v>92607</v>
      </c>
      <c r="AE22" s="64">
        <v>2145</v>
      </c>
      <c r="AF22" s="64">
        <v>12718</v>
      </c>
      <c r="AG22" s="65">
        <v>26</v>
      </c>
      <c r="AH22" s="65">
        <v>37</v>
      </c>
      <c r="AI22" s="65"/>
      <c r="AJ22" s="65"/>
      <c r="AK22" s="64">
        <v>44350</v>
      </c>
      <c r="AL22" s="64">
        <v>21944</v>
      </c>
      <c r="AM22" s="64">
        <v>75687</v>
      </c>
      <c r="AN22" s="66">
        <v>563076</v>
      </c>
      <c r="AO22" s="67">
        <v>46023</v>
      </c>
      <c r="AP22" s="67">
        <v>46387</v>
      </c>
      <c r="AQ22" s="70" t="s">
        <v>2365</v>
      </c>
      <c r="AR22" s="8"/>
      <c r="AS22" s="8"/>
      <c r="AT22" s="8"/>
      <c r="AU22" s="8"/>
      <c r="AV22" s="8"/>
      <c r="AW22" s="8"/>
      <c r="AX22" s="8"/>
      <c r="AY22" s="8"/>
      <c r="AZ22" s="8"/>
      <c r="BA22" s="8"/>
      <c r="BB22" s="8"/>
      <c r="BC22" s="8"/>
      <c r="BD22" s="8"/>
      <c r="BE22" s="8"/>
      <c r="BF22" s="8"/>
    </row>
    <row r="23" spans="1:58" s="16" customFormat="1" ht="69.75" hidden="1" customHeight="1">
      <c r="A23" s="76">
        <v>3</v>
      </c>
      <c r="B23" s="75" t="s">
        <v>892</v>
      </c>
      <c r="C23" s="76">
        <v>23</v>
      </c>
      <c r="D23" s="77" t="s">
        <v>2357</v>
      </c>
      <c r="E23" s="76">
        <v>2302</v>
      </c>
      <c r="F23" s="77" t="s">
        <v>2410</v>
      </c>
      <c r="G23" s="76">
        <v>2302066</v>
      </c>
      <c r="H23" s="77" t="s">
        <v>2415</v>
      </c>
      <c r="I23" s="87">
        <v>230206600</v>
      </c>
      <c r="J23" s="79" t="s">
        <v>2416</v>
      </c>
      <c r="K23" s="78">
        <v>150</v>
      </c>
      <c r="L23" s="78"/>
      <c r="M23" s="78">
        <f t="shared" si="0"/>
        <v>150</v>
      </c>
      <c r="N23" s="76">
        <v>2024003630026</v>
      </c>
      <c r="O23" s="80" t="s">
        <v>2412</v>
      </c>
      <c r="P23" s="57" t="s">
        <v>2417</v>
      </c>
      <c r="Q23" s="82">
        <v>110000000</v>
      </c>
      <c r="R23" s="60">
        <f>16000000+14800000+14800000+10800000</f>
        <v>56400000</v>
      </c>
      <c r="S23" s="61"/>
      <c r="T23" s="61"/>
      <c r="U23" s="82">
        <f>Q23-R23+S23</f>
        <v>53600000</v>
      </c>
      <c r="V23" s="62" t="s">
        <v>2418</v>
      </c>
      <c r="W23" s="63">
        <v>20</v>
      </c>
      <c r="X23" s="63" t="s">
        <v>2364</v>
      </c>
      <c r="Y23" s="64">
        <v>295972</v>
      </c>
      <c r="Z23" s="64">
        <v>285580</v>
      </c>
      <c r="AA23" s="64">
        <v>135545</v>
      </c>
      <c r="AB23" s="64">
        <v>44254</v>
      </c>
      <c r="AC23" s="64">
        <v>309146</v>
      </c>
      <c r="AD23" s="64">
        <v>92607</v>
      </c>
      <c r="AE23" s="64">
        <v>2145</v>
      </c>
      <c r="AF23" s="64">
        <v>12718</v>
      </c>
      <c r="AG23" s="65">
        <v>26</v>
      </c>
      <c r="AH23" s="65">
        <v>37</v>
      </c>
      <c r="AI23" s="65"/>
      <c r="AJ23" s="65"/>
      <c r="AK23" s="64">
        <v>44350</v>
      </c>
      <c r="AL23" s="64">
        <v>21944</v>
      </c>
      <c r="AM23" s="64">
        <v>75687</v>
      </c>
      <c r="AN23" s="66">
        <v>563076</v>
      </c>
      <c r="AO23" s="67">
        <v>46023</v>
      </c>
      <c r="AP23" s="67">
        <v>46387</v>
      </c>
      <c r="AQ23" s="70" t="s">
        <v>2365</v>
      </c>
      <c r="AR23" s="8"/>
      <c r="AS23" s="8"/>
      <c r="AT23" s="8"/>
      <c r="AU23" s="8"/>
      <c r="AV23" s="8"/>
      <c r="AW23" s="8"/>
      <c r="AX23" s="8"/>
      <c r="AY23" s="8"/>
      <c r="AZ23" s="8"/>
      <c r="BA23" s="8"/>
      <c r="BB23" s="8"/>
      <c r="BC23" s="8"/>
      <c r="BD23" s="8"/>
      <c r="BE23" s="8"/>
      <c r="BF23" s="8"/>
    </row>
    <row r="24" spans="1:58" s="16" customFormat="1" ht="55.5" hidden="1" customHeight="1">
      <c r="A24" s="76">
        <v>3</v>
      </c>
      <c r="B24" s="75" t="s">
        <v>892</v>
      </c>
      <c r="C24" s="76">
        <v>23</v>
      </c>
      <c r="D24" s="77" t="s">
        <v>2357</v>
      </c>
      <c r="E24" s="76">
        <v>2302</v>
      </c>
      <c r="F24" s="77" t="s">
        <v>2410</v>
      </c>
      <c r="G24" s="76">
        <v>2302033</v>
      </c>
      <c r="H24" s="77" t="s">
        <v>2419</v>
      </c>
      <c r="I24" s="87">
        <v>230203300</v>
      </c>
      <c r="J24" s="79" t="s">
        <v>2420</v>
      </c>
      <c r="K24" s="78">
        <v>150</v>
      </c>
      <c r="L24" s="78"/>
      <c r="M24" s="78">
        <f t="shared" si="0"/>
        <v>150</v>
      </c>
      <c r="N24" s="76">
        <v>2024003630026</v>
      </c>
      <c r="O24" s="80" t="s">
        <v>2412</v>
      </c>
      <c r="P24" s="57" t="s">
        <v>2421</v>
      </c>
      <c r="Q24" s="82">
        <v>107000000</v>
      </c>
      <c r="R24" s="60">
        <f>20000000+14800000+17200000+16000000</f>
        <v>68000000</v>
      </c>
      <c r="S24" s="61"/>
      <c r="T24" s="61"/>
      <c r="U24" s="82">
        <f>Q24-R24+S24</f>
        <v>39000000</v>
      </c>
      <c r="V24" s="62" t="s">
        <v>2422</v>
      </c>
      <c r="W24" s="63">
        <v>20</v>
      </c>
      <c r="X24" s="63" t="s">
        <v>2364</v>
      </c>
      <c r="Y24" s="64">
        <v>295972</v>
      </c>
      <c r="Z24" s="64">
        <v>285580</v>
      </c>
      <c r="AA24" s="64">
        <v>135545</v>
      </c>
      <c r="AB24" s="64">
        <v>44254</v>
      </c>
      <c r="AC24" s="64">
        <v>309146</v>
      </c>
      <c r="AD24" s="64">
        <v>92607</v>
      </c>
      <c r="AE24" s="64">
        <v>2145</v>
      </c>
      <c r="AF24" s="64">
        <v>12718</v>
      </c>
      <c r="AG24" s="65">
        <v>26</v>
      </c>
      <c r="AH24" s="65">
        <v>37</v>
      </c>
      <c r="AI24" s="65"/>
      <c r="AJ24" s="65"/>
      <c r="AK24" s="64">
        <v>44350</v>
      </c>
      <c r="AL24" s="64">
        <v>21944</v>
      </c>
      <c r="AM24" s="64">
        <v>75687</v>
      </c>
      <c r="AN24" s="66">
        <v>563076</v>
      </c>
      <c r="AO24" s="67">
        <v>46023</v>
      </c>
      <c r="AP24" s="67">
        <v>46387</v>
      </c>
      <c r="AQ24" s="70" t="s">
        <v>2365</v>
      </c>
      <c r="AR24" s="8"/>
      <c r="AS24" s="8"/>
      <c r="AT24" s="8"/>
      <c r="AU24" s="8"/>
      <c r="AV24" s="8"/>
      <c r="AW24" s="8"/>
      <c r="AX24" s="8"/>
      <c r="AY24" s="8"/>
      <c r="AZ24" s="8"/>
      <c r="BA24" s="8"/>
      <c r="BB24" s="8"/>
      <c r="BC24" s="8"/>
      <c r="BD24" s="8"/>
      <c r="BE24" s="8"/>
      <c r="BF24" s="8"/>
    </row>
    <row r="25" spans="1:58" s="16" customFormat="1" ht="55.5" hidden="1" customHeight="1">
      <c r="A25" s="88">
        <v>3</v>
      </c>
      <c r="B25" s="75" t="s">
        <v>892</v>
      </c>
      <c r="C25" s="76">
        <v>23</v>
      </c>
      <c r="D25" s="77" t="s">
        <v>2357</v>
      </c>
      <c r="E25" s="76">
        <v>2302</v>
      </c>
      <c r="F25" s="77" t="s">
        <v>2410</v>
      </c>
      <c r="G25" s="87">
        <v>2302012</v>
      </c>
      <c r="H25" s="77" t="s">
        <v>2423</v>
      </c>
      <c r="I25" s="76">
        <v>230201200</v>
      </c>
      <c r="J25" s="77" t="s">
        <v>2424</v>
      </c>
      <c r="K25" s="78">
        <v>1</v>
      </c>
      <c r="L25" s="78"/>
      <c r="M25" s="78">
        <f t="shared" si="0"/>
        <v>1</v>
      </c>
      <c r="N25" s="76">
        <v>2024003630026</v>
      </c>
      <c r="O25" s="80" t="s">
        <v>2412</v>
      </c>
      <c r="P25" s="57" t="s">
        <v>2425</v>
      </c>
      <c r="Q25" s="82">
        <v>30000000</v>
      </c>
      <c r="R25" s="60"/>
      <c r="S25" s="61"/>
      <c r="T25" s="61"/>
      <c r="U25" s="82">
        <v>30000000</v>
      </c>
      <c r="V25" s="62" t="s">
        <v>2426</v>
      </c>
      <c r="W25" s="63">
        <v>20</v>
      </c>
      <c r="X25" s="63" t="s">
        <v>2364</v>
      </c>
      <c r="Y25" s="64">
        <v>295972</v>
      </c>
      <c r="Z25" s="64">
        <v>285580</v>
      </c>
      <c r="AA25" s="64">
        <v>135545</v>
      </c>
      <c r="AB25" s="64">
        <v>44254</v>
      </c>
      <c r="AC25" s="64">
        <v>309146</v>
      </c>
      <c r="AD25" s="64">
        <v>92607</v>
      </c>
      <c r="AE25" s="64">
        <v>2145</v>
      </c>
      <c r="AF25" s="64">
        <v>12718</v>
      </c>
      <c r="AG25" s="65">
        <v>26</v>
      </c>
      <c r="AH25" s="65">
        <v>37</v>
      </c>
      <c r="AI25" s="65"/>
      <c r="AJ25" s="65"/>
      <c r="AK25" s="64">
        <v>44350</v>
      </c>
      <c r="AL25" s="64">
        <v>21944</v>
      </c>
      <c r="AM25" s="64">
        <v>75687</v>
      </c>
      <c r="AN25" s="66">
        <v>563076</v>
      </c>
      <c r="AO25" s="67">
        <v>46023</v>
      </c>
      <c r="AP25" s="67">
        <v>46387</v>
      </c>
      <c r="AQ25" s="70" t="s">
        <v>2365</v>
      </c>
      <c r="AR25" s="8"/>
      <c r="AS25" s="8"/>
      <c r="AT25" s="8"/>
      <c r="AU25" s="8"/>
      <c r="AV25" s="8"/>
      <c r="AW25" s="8"/>
      <c r="AX25" s="8"/>
      <c r="AY25" s="8"/>
      <c r="AZ25" s="8"/>
      <c r="BA25" s="8"/>
      <c r="BB25" s="8"/>
      <c r="BC25" s="8"/>
      <c r="BD25" s="8"/>
      <c r="BE25" s="8"/>
      <c r="BF25" s="8"/>
    </row>
    <row r="26" spans="1:58" s="16" customFormat="1" ht="55.5" hidden="1" customHeight="1">
      <c r="A26" s="84">
        <v>3</v>
      </c>
      <c r="B26" s="75" t="s">
        <v>892</v>
      </c>
      <c r="C26" s="76">
        <v>23</v>
      </c>
      <c r="D26" s="77" t="s">
        <v>2357</v>
      </c>
      <c r="E26" s="76">
        <v>2302</v>
      </c>
      <c r="F26" s="77" t="s">
        <v>2410</v>
      </c>
      <c r="G26" s="76">
        <v>2302015</v>
      </c>
      <c r="H26" s="77" t="s">
        <v>2427</v>
      </c>
      <c r="I26" s="76">
        <v>230201500</v>
      </c>
      <c r="J26" s="77" t="s">
        <v>2428</v>
      </c>
      <c r="K26" s="78">
        <v>10</v>
      </c>
      <c r="L26" s="78"/>
      <c r="M26" s="78">
        <f t="shared" si="0"/>
        <v>10</v>
      </c>
      <c r="N26" s="76">
        <v>2024003630026</v>
      </c>
      <c r="O26" s="80" t="s">
        <v>2412</v>
      </c>
      <c r="P26" s="57" t="s">
        <v>2429</v>
      </c>
      <c r="Q26" s="82">
        <v>30000000</v>
      </c>
      <c r="R26" s="60"/>
      <c r="S26" s="61"/>
      <c r="T26" s="61"/>
      <c r="U26" s="82">
        <v>30000000</v>
      </c>
      <c r="V26" s="62" t="s">
        <v>2430</v>
      </c>
      <c r="W26" s="63">
        <v>20</v>
      </c>
      <c r="X26" s="63" t="s">
        <v>2364</v>
      </c>
      <c r="Y26" s="64">
        <v>295972</v>
      </c>
      <c r="Z26" s="64">
        <v>285580</v>
      </c>
      <c r="AA26" s="64">
        <v>135545</v>
      </c>
      <c r="AB26" s="64">
        <v>44254</v>
      </c>
      <c r="AC26" s="64">
        <v>309146</v>
      </c>
      <c r="AD26" s="64">
        <v>92607</v>
      </c>
      <c r="AE26" s="64">
        <v>2145</v>
      </c>
      <c r="AF26" s="64">
        <v>12718</v>
      </c>
      <c r="AG26" s="65">
        <v>26</v>
      </c>
      <c r="AH26" s="65">
        <v>37</v>
      </c>
      <c r="AI26" s="65"/>
      <c r="AJ26" s="65"/>
      <c r="AK26" s="64">
        <v>44350</v>
      </c>
      <c r="AL26" s="64">
        <v>21944</v>
      </c>
      <c r="AM26" s="64">
        <v>75687</v>
      </c>
      <c r="AN26" s="66">
        <v>563076</v>
      </c>
      <c r="AO26" s="67">
        <v>46023</v>
      </c>
      <c r="AP26" s="67">
        <v>46387</v>
      </c>
      <c r="AQ26" s="70" t="s">
        <v>2365</v>
      </c>
      <c r="AR26" s="8"/>
      <c r="AS26" s="8"/>
      <c r="AT26" s="8"/>
      <c r="AU26" s="8"/>
      <c r="AV26" s="8"/>
      <c r="AW26" s="8"/>
      <c r="AX26" s="8"/>
      <c r="AY26" s="8"/>
      <c r="AZ26" s="8"/>
      <c r="BA26" s="8"/>
      <c r="BB26" s="8"/>
      <c r="BC26" s="8"/>
      <c r="BD26" s="8"/>
      <c r="BE26" s="8"/>
      <c r="BF26" s="8"/>
    </row>
    <row r="27" spans="1:58" s="16" customFormat="1" ht="55.5" hidden="1" customHeight="1">
      <c r="A27" s="84">
        <v>3</v>
      </c>
      <c r="B27" s="75" t="s">
        <v>892</v>
      </c>
      <c r="C27" s="76">
        <v>23</v>
      </c>
      <c r="D27" s="77" t="s">
        <v>2357</v>
      </c>
      <c r="E27" s="76">
        <v>2302</v>
      </c>
      <c r="F27" s="77" t="s">
        <v>2410</v>
      </c>
      <c r="G27" s="76">
        <v>2302003</v>
      </c>
      <c r="H27" s="77" t="s">
        <v>2431</v>
      </c>
      <c r="I27" s="76">
        <v>230200300</v>
      </c>
      <c r="J27" s="77" t="s">
        <v>2432</v>
      </c>
      <c r="K27" s="78">
        <v>3</v>
      </c>
      <c r="L27" s="78"/>
      <c r="M27" s="78">
        <f t="shared" si="0"/>
        <v>3</v>
      </c>
      <c r="N27" s="76">
        <v>2024003630026</v>
      </c>
      <c r="O27" s="80" t="s">
        <v>2412</v>
      </c>
      <c r="P27" s="89" t="s">
        <v>2433</v>
      </c>
      <c r="Q27" s="90">
        <v>30000000</v>
      </c>
      <c r="R27" s="91"/>
      <c r="S27" s="92"/>
      <c r="T27" s="92"/>
      <c r="U27" s="90">
        <v>30000000</v>
      </c>
      <c r="V27" s="93" t="s">
        <v>2434</v>
      </c>
      <c r="W27" s="63">
        <v>20</v>
      </c>
      <c r="X27" s="63" t="s">
        <v>2364</v>
      </c>
      <c r="Y27" s="64">
        <v>295972</v>
      </c>
      <c r="Z27" s="64">
        <v>285580</v>
      </c>
      <c r="AA27" s="64">
        <v>135545</v>
      </c>
      <c r="AB27" s="64">
        <v>44254</v>
      </c>
      <c r="AC27" s="64">
        <v>309146</v>
      </c>
      <c r="AD27" s="64">
        <v>92607</v>
      </c>
      <c r="AE27" s="64">
        <v>2145</v>
      </c>
      <c r="AF27" s="64">
        <v>12718</v>
      </c>
      <c r="AG27" s="65">
        <v>26</v>
      </c>
      <c r="AH27" s="65">
        <v>37</v>
      </c>
      <c r="AI27" s="65"/>
      <c r="AJ27" s="65"/>
      <c r="AK27" s="64">
        <v>44350</v>
      </c>
      <c r="AL27" s="64">
        <v>21944</v>
      </c>
      <c r="AM27" s="64">
        <v>75687</v>
      </c>
      <c r="AN27" s="66">
        <v>563076</v>
      </c>
      <c r="AO27" s="67">
        <v>46023</v>
      </c>
      <c r="AP27" s="67">
        <v>46387</v>
      </c>
      <c r="AQ27" s="73" t="s">
        <v>2365</v>
      </c>
      <c r="AR27" s="8"/>
      <c r="AS27" s="8"/>
      <c r="AT27" s="8"/>
      <c r="AU27" s="8"/>
      <c r="AV27" s="8"/>
      <c r="AW27" s="8"/>
      <c r="AX27" s="8"/>
      <c r="AY27" s="8"/>
      <c r="AZ27" s="8"/>
      <c r="BA27" s="8"/>
      <c r="BB27" s="8"/>
      <c r="BC27" s="8"/>
      <c r="BD27" s="8"/>
      <c r="BE27" s="8"/>
      <c r="BF27" s="8"/>
    </row>
    <row r="28" spans="1:58" s="16" customFormat="1" ht="55.5" hidden="1" customHeight="1">
      <c r="A28" s="76">
        <v>4</v>
      </c>
      <c r="B28" s="75" t="s">
        <v>58</v>
      </c>
      <c r="C28" s="76">
        <v>23</v>
      </c>
      <c r="D28" s="77" t="s">
        <v>2357</v>
      </c>
      <c r="E28" s="76">
        <v>2302</v>
      </c>
      <c r="F28" s="77" t="s">
        <v>2410</v>
      </c>
      <c r="G28" s="76">
        <v>2302101</v>
      </c>
      <c r="H28" s="77" t="s">
        <v>2435</v>
      </c>
      <c r="I28" s="87">
        <v>230210100</v>
      </c>
      <c r="J28" s="79" t="s">
        <v>2436</v>
      </c>
      <c r="K28" s="94">
        <v>0.2</v>
      </c>
      <c r="L28" s="94"/>
      <c r="M28" s="94">
        <f t="shared" si="0"/>
        <v>0.2</v>
      </c>
      <c r="N28" s="76">
        <v>2024003630026</v>
      </c>
      <c r="O28" s="80" t="s">
        <v>2412</v>
      </c>
      <c r="P28" s="57" t="s">
        <v>2437</v>
      </c>
      <c r="Q28" s="938">
        <f>275000000-60000000</f>
        <v>215000000</v>
      </c>
      <c r="R28" s="60">
        <f>14800000+14800000+14800000+14800000+12000000+10800000+10800000+10800000+14800000+12000000+10800000+12000000+14800000+14800000</f>
        <v>182800000</v>
      </c>
      <c r="S28" s="61"/>
      <c r="T28" s="61"/>
      <c r="U28" s="82">
        <f>Q28-R28+S28-T28</f>
        <v>32200000</v>
      </c>
      <c r="V28" s="62" t="s">
        <v>2438</v>
      </c>
      <c r="W28" s="63">
        <v>20</v>
      </c>
      <c r="X28" s="63" t="s">
        <v>2364</v>
      </c>
      <c r="Y28" s="64">
        <v>295972</v>
      </c>
      <c r="Z28" s="64">
        <v>285580</v>
      </c>
      <c r="AA28" s="64">
        <v>135545</v>
      </c>
      <c r="AB28" s="64">
        <v>44254</v>
      </c>
      <c r="AC28" s="64">
        <v>309146</v>
      </c>
      <c r="AD28" s="64">
        <v>92607</v>
      </c>
      <c r="AE28" s="64">
        <v>2145</v>
      </c>
      <c r="AF28" s="64">
        <v>12718</v>
      </c>
      <c r="AG28" s="65">
        <v>26</v>
      </c>
      <c r="AH28" s="65">
        <v>37</v>
      </c>
      <c r="AI28" s="65"/>
      <c r="AJ28" s="65"/>
      <c r="AK28" s="64">
        <v>44350</v>
      </c>
      <c r="AL28" s="64">
        <v>21944</v>
      </c>
      <c r="AM28" s="64">
        <v>75687</v>
      </c>
      <c r="AN28" s="66">
        <v>563076</v>
      </c>
      <c r="AO28" s="67">
        <v>46023</v>
      </c>
      <c r="AP28" s="67">
        <v>46387</v>
      </c>
      <c r="AQ28" s="95" t="s">
        <v>2365</v>
      </c>
      <c r="AR28" s="8"/>
      <c r="AS28" s="8"/>
      <c r="AT28" s="8"/>
      <c r="AU28" s="8"/>
      <c r="AV28" s="8"/>
      <c r="AW28" s="8"/>
      <c r="AX28" s="8"/>
      <c r="AY28" s="8"/>
      <c r="AZ28" s="8"/>
      <c r="BA28" s="8"/>
      <c r="BB28" s="8"/>
      <c r="BC28" s="8"/>
      <c r="BD28" s="8"/>
      <c r="BE28" s="8"/>
      <c r="BF28" s="8"/>
    </row>
    <row r="29" spans="1:58" s="16" customFormat="1" ht="55.5" customHeight="1">
      <c r="A29" s="76">
        <v>4</v>
      </c>
      <c r="B29" s="75" t="s">
        <v>58</v>
      </c>
      <c r="C29" s="76">
        <v>23</v>
      </c>
      <c r="D29" s="77" t="s">
        <v>2357</v>
      </c>
      <c r="E29" s="76">
        <v>2302</v>
      </c>
      <c r="F29" s="77" t="s">
        <v>2410</v>
      </c>
      <c r="G29" s="76">
        <v>2302101</v>
      </c>
      <c r="H29" s="77" t="s">
        <v>2435</v>
      </c>
      <c r="I29" s="87">
        <v>230210100</v>
      </c>
      <c r="J29" s="79" t="s">
        <v>2436</v>
      </c>
      <c r="K29" s="94">
        <v>0.2</v>
      </c>
      <c r="L29" s="94"/>
      <c r="M29" s="94">
        <f>+K29+L29</f>
        <v>0.2</v>
      </c>
      <c r="N29" s="76">
        <v>2024003630026</v>
      </c>
      <c r="O29" s="80" t="s">
        <v>2412</v>
      </c>
      <c r="P29" s="57" t="s">
        <v>2439</v>
      </c>
      <c r="Q29" s="938">
        <v>60000000</v>
      </c>
      <c r="R29" s="60">
        <f>60000000</f>
        <v>60000000</v>
      </c>
      <c r="S29" s="61"/>
      <c r="T29" s="61"/>
      <c r="U29" s="82">
        <f>Q29-R29+S29-T29</f>
        <v>0</v>
      </c>
      <c r="V29" s="62" t="s">
        <v>2438</v>
      </c>
      <c r="W29" s="63">
        <v>20</v>
      </c>
      <c r="X29" s="63" t="s">
        <v>2364</v>
      </c>
      <c r="Y29" s="64">
        <v>295972</v>
      </c>
      <c r="Z29" s="64">
        <v>285580</v>
      </c>
      <c r="AA29" s="64">
        <v>135545</v>
      </c>
      <c r="AB29" s="64">
        <v>44254</v>
      </c>
      <c r="AC29" s="64">
        <v>309146</v>
      </c>
      <c r="AD29" s="64">
        <v>92607</v>
      </c>
      <c r="AE29" s="64">
        <v>2145</v>
      </c>
      <c r="AF29" s="64">
        <v>12718</v>
      </c>
      <c r="AG29" s="65">
        <v>26</v>
      </c>
      <c r="AH29" s="65">
        <v>37</v>
      </c>
      <c r="AI29" s="65"/>
      <c r="AJ29" s="65"/>
      <c r="AK29" s="64">
        <v>44350</v>
      </c>
      <c r="AL29" s="64">
        <v>21944</v>
      </c>
      <c r="AM29" s="64">
        <v>75687</v>
      </c>
      <c r="AN29" s="66">
        <v>563076</v>
      </c>
      <c r="AO29" s="67">
        <v>46023</v>
      </c>
      <c r="AP29" s="67">
        <v>46387</v>
      </c>
      <c r="AQ29" s="95" t="s">
        <v>2365</v>
      </c>
      <c r="AR29" s="8"/>
      <c r="AS29" s="8"/>
      <c r="AT29" s="8"/>
      <c r="AU29" s="8"/>
      <c r="AV29" s="8"/>
      <c r="AW29" s="8"/>
      <c r="AX29" s="8"/>
      <c r="AY29" s="8"/>
      <c r="AZ29" s="8"/>
      <c r="BA29" s="8"/>
      <c r="BB29" s="8"/>
      <c r="BC29" s="8"/>
      <c r="BD29" s="8"/>
      <c r="BE29" s="8"/>
      <c r="BF29" s="8"/>
    </row>
    <row r="30" spans="1:58" s="16" customFormat="1" ht="55.5" hidden="1" customHeight="1">
      <c r="A30" s="76">
        <v>4</v>
      </c>
      <c r="B30" s="75" t="s">
        <v>58</v>
      </c>
      <c r="C30" s="76">
        <v>23</v>
      </c>
      <c r="D30" s="77" t="s">
        <v>2357</v>
      </c>
      <c r="E30" s="76">
        <v>2302</v>
      </c>
      <c r="F30" s="77" t="s">
        <v>2410</v>
      </c>
      <c r="G30" s="76">
        <v>2302083</v>
      </c>
      <c r="H30" s="77" t="s">
        <v>729</v>
      </c>
      <c r="I30" s="87">
        <v>230208300</v>
      </c>
      <c r="J30" s="79" t="s">
        <v>730</v>
      </c>
      <c r="K30" s="78">
        <v>1</v>
      </c>
      <c r="L30" s="78"/>
      <c r="M30" s="78">
        <f t="shared" si="0"/>
        <v>1</v>
      </c>
      <c r="N30" s="76">
        <v>2024003630026</v>
      </c>
      <c r="O30" s="80" t="s">
        <v>2412</v>
      </c>
      <c r="P30" s="57" t="s">
        <v>2440</v>
      </c>
      <c r="Q30" s="82">
        <v>54000000</v>
      </c>
      <c r="R30" s="60">
        <f>14800000+14800000</f>
        <v>29600000</v>
      </c>
      <c r="S30" s="61"/>
      <c r="T30" s="61"/>
      <c r="U30" s="82">
        <f>Q30-R30+S30-T30</f>
        <v>24400000</v>
      </c>
      <c r="V30" s="62" t="s">
        <v>2441</v>
      </c>
      <c r="W30" s="63">
        <v>20</v>
      </c>
      <c r="X30" s="63" t="s">
        <v>2364</v>
      </c>
      <c r="Y30" s="64">
        <v>295972</v>
      </c>
      <c r="Z30" s="64">
        <v>285580</v>
      </c>
      <c r="AA30" s="64">
        <v>135545</v>
      </c>
      <c r="AB30" s="64">
        <v>44254</v>
      </c>
      <c r="AC30" s="64">
        <v>309146</v>
      </c>
      <c r="AD30" s="64">
        <v>92607</v>
      </c>
      <c r="AE30" s="64">
        <v>2145</v>
      </c>
      <c r="AF30" s="64">
        <v>12718</v>
      </c>
      <c r="AG30" s="65">
        <v>26</v>
      </c>
      <c r="AH30" s="65">
        <v>37</v>
      </c>
      <c r="AI30" s="65"/>
      <c r="AJ30" s="65"/>
      <c r="AK30" s="64">
        <v>44350</v>
      </c>
      <c r="AL30" s="64">
        <v>21944</v>
      </c>
      <c r="AM30" s="64">
        <v>75687</v>
      </c>
      <c r="AN30" s="66">
        <v>563076</v>
      </c>
      <c r="AO30" s="67">
        <v>46023</v>
      </c>
      <c r="AP30" s="67">
        <v>46387</v>
      </c>
      <c r="AQ30" s="70" t="s">
        <v>2365</v>
      </c>
      <c r="AR30" s="8"/>
      <c r="AS30" s="8"/>
      <c r="AT30" s="8"/>
      <c r="AU30" s="8"/>
      <c r="AV30" s="8"/>
      <c r="AW30" s="8"/>
      <c r="AX30" s="8"/>
      <c r="AY30" s="8"/>
      <c r="AZ30" s="8"/>
      <c r="BA30" s="8"/>
      <c r="BB30" s="8"/>
      <c r="BC30" s="8"/>
      <c r="BD30" s="8"/>
      <c r="BE30" s="8"/>
      <c r="BF30" s="8"/>
    </row>
    <row r="31" spans="1:58" s="16" customFormat="1" ht="55.5" hidden="1" customHeight="1">
      <c r="A31" s="76">
        <v>4</v>
      </c>
      <c r="B31" s="75" t="s">
        <v>58</v>
      </c>
      <c r="C31" s="76">
        <v>23</v>
      </c>
      <c r="D31" s="77" t="s">
        <v>2357</v>
      </c>
      <c r="E31" s="76">
        <v>2302</v>
      </c>
      <c r="F31" s="77" t="s">
        <v>2410</v>
      </c>
      <c r="G31" s="76">
        <v>2302007</v>
      </c>
      <c r="H31" s="77" t="s">
        <v>2442</v>
      </c>
      <c r="I31" s="87">
        <v>230200701</v>
      </c>
      <c r="J31" s="79" t="s">
        <v>2443</v>
      </c>
      <c r="K31" s="78">
        <v>1</v>
      </c>
      <c r="L31" s="78"/>
      <c r="M31" s="78">
        <f t="shared" si="0"/>
        <v>1</v>
      </c>
      <c r="N31" s="76">
        <v>2024003630026</v>
      </c>
      <c r="O31" s="96" t="s">
        <v>2412</v>
      </c>
      <c r="P31" s="57" t="s">
        <v>2444</v>
      </c>
      <c r="Q31" s="82">
        <v>81000000</v>
      </c>
      <c r="R31" s="60">
        <f>8800000+12000000+14800000+14800000</f>
        <v>50400000</v>
      </c>
      <c r="S31" s="61"/>
      <c r="T31" s="61"/>
      <c r="U31" s="82">
        <f>Q31-R31+S31-T31</f>
        <v>30600000</v>
      </c>
      <c r="V31" s="62" t="s">
        <v>2445</v>
      </c>
      <c r="W31" s="63">
        <v>20</v>
      </c>
      <c r="X31" s="63" t="s">
        <v>2364</v>
      </c>
      <c r="Y31" s="64">
        <v>295972</v>
      </c>
      <c r="Z31" s="64">
        <v>285580</v>
      </c>
      <c r="AA31" s="64">
        <v>135545</v>
      </c>
      <c r="AB31" s="64">
        <v>44254</v>
      </c>
      <c r="AC31" s="64">
        <v>309146</v>
      </c>
      <c r="AD31" s="64">
        <v>92607</v>
      </c>
      <c r="AE31" s="64">
        <v>2145</v>
      </c>
      <c r="AF31" s="64">
        <v>12718</v>
      </c>
      <c r="AG31" s="65">
        <v>26</v>
      </c>
      <c r="AH31" s="65">
        <v>37</v>
      </c>
      <c r="AI31" s="65"/>
      <c r="AJ31" s="65"/>
      <c r="AK31" s="64">
        <v>44350</v>
      </c>
      <c r="AL31" s="64">
        <v>21944</v>
      </c>
      <c r="AM31" s="64">
        <v>75687</v>
      </c>
      <c r="AN31" s="66">
        <v>563076</v>
      </c>
      <c r="AO31" s="67">
        <v>46023</v>
      </c>
      <c r="AP31" s="67">
        <v>46387</v>
      </c>
      <c r="AQ31" s="70" t="s">
        <v>2365</v>
      </c>
      <c r="AR31" s="8"/>
      <c r="AS31" s="8"/>
      <c r="AT31" s="8"/>
      <c r="AU31" s="8"/>
      <c r="AV31" s="8"/>
      <c r="AW31" s="8"/>
      <c r="AX31" s="8"/>
      <c r="AY31" s="8"/>
      <c r="AZ31" s="8"/>
      <c r="BA31" s="8"/>
      <c r="BB31" s="8"/>
      <c r="BC31" s="8"/>
      <c r="BD31" s="8"/>
      <c r="BE31" s="8"/>
      <c r="BF31" s="8"/>
    </row>
    <row r="32" spans="1:58" s="17" customFormat="1" ht="27.6" hidden="1" customHeight="1" thickBot="1">
      <c r="A32" s="97"/>
      <c r="B32" s="97"/>
      <c r="C32" s="97"/>
      <c r="D32" s="97"/>
      <c r="E32" s="97"/>
      <c r="F32" s="97"/>
      <c r="G32" s="97"/>
      <c r="H32" s="97"/>
      <c r="I32" s="97"/>
      <c r="J32" s="97"/>
      <c r="K32" s="21"/>
      <c r="L32" s="21"/>
      <c r="M32" s="21"/>
      <c r="N32" s="21"/>
      <c r="O32" s="21"/>
      <c r="P32" s="26"/>
      <c r="Q32" s="98">
        <f>SUM(Q10:Q31)</f>
        <v>1789500000</v>
      </c>
      <c r="R32" s="30"/>
      <c r="S32" s="30"/>
      <c r="T32" s="30"/>
      <c r="U32" s="30"/>
      <c r="V32" s="21"/>
      <c r="W32" s="21"/>
      <c r="X32" s="21"/>
      <c r="Y32" s="21"/>
      <c r="Z32" s="21"/>
      <c r="AA32" s="21"/>
      <c r="AB32" s="21"/>
      <c r="AC32" s="21"/>
      <c r="AD32" s="21"/>
      <c r="AE32" s="21"/>
      <c r="AF32" s="21"/>
      <c r="AG32" s="21"/>
      <c r="AH32" s="21"/>
      <c r="AI32" s="21"/>
      <c r="AJ32" s="21"/>
      <c r="AK32" s="21"/>
      <c r="AL32" s="21"/>
      <c r="AM32" s="21"/>
      <c r="AN32" s="21"/>
      <c r="AO32" s="21"/>
      <c r="AP32" s="21"/>
      <c r="AQ32" s="22"/>
    </row>
    <row r="33" spans="1:44" s="17" customFormat="1" ht="14.25">
      <c r="W33" s="18"/>
      <c r="X33" s="18"/>
    </row>
    <row r="34" spans="1:44" s="17" customFormat="1" ht="14.25">
      <c r="W34" s="18"/>
      <c r="X34" s="18"/>
    </row>
    <row r="35" spans="1:44" s="17" customFormat="1" ht="14.25">
      <c r="W35" s="18"/>
      <c r="X35" s="18"/>
    </row>
    <row r="36" spans="1:44" s="17" customFormat="1">
      <c r="O36" s="99" t="s">
        <v>2446</v>
      </c>
      <c r="W36" s="18"/>
      <c r="X36" s="18"/>
    </row>
    <row r="37" spans="1:44" s="17" customFormat="1">
      <c r="K37" s="980"/>
      <c r="L37" s="980"/>
      <c r="M37" s="980"/>
      <c r="N37" s="980"/>
      <c r="O37" s="980"/>
      <c r="P37" s="980"/>
      <c r="Q37" s="980"/>
      <c r="R37" s="37"/>
      <c r="S37" s="31"/>
      <c r="T37" s="31"/>
      <c r="U37" s="31"/>
      <c r="W37" s="18"/>
      <c r="X37" s="18"/>
    </row>
    <row r="38" spans="1:44">
      <c r="K38" s="981" t="s">
        <v>2447</v>
      </c>
      <c r="L38" s="981"/>
      <c r="M38" s="981"/>
      <c r="N38" s="981"/>
      <c r="O38" s="981"/>
      <c r="P38" s="981"/>
      <c r="Q38" s="981"/>
      <c r="R38" s="38"/>
      <c r="S38" s="964"/>
      <c r="T38" s="964"/>
      <c r="U38" s="964"/>
    </row>
    <row r="39" spans="1:44">
      <c r="A39" s="17"/>
      <c r="B39" s="17"/>
      <c r="C39" s="17"/>
      <c r="D39" s="17"/>
      <c r="E39" s="17"/>
      <c r="F39" s="17"/>
      <c r="G39" s="17"/>
      <c r="H39" s="17"/>
      <c r="I39" s="17"/>
      <c r="J39" s="17"/>
      <c r="K39" s="17"/>
      <c r="L39" s="17"/>
      <c r="M39" s="17"/>
      <c r="N39" s="17"/>
      <c r="O39" s="17"/>
      <c r="P39" s="17"/>
      <c r="Q39" s="17"/>
      <c r="R39" s="17"/>
      <c r="S39" s="17"/>
      <c r="T39" s="17"/>
      <c r="U39" s="17"/>
      <c r="V39" s="17"/>
      <c r="W39" s="18"/>
      <c r="X39" s="18"/>
      <c r="Y39" s="17"/>
      <c r="Z39" s="17"/>
      <c r="AA39" s="17"/>
      <c r="AB39" s="17"/>
      <c r="AC39" s="17"/>
      <c r="AD39" s="17"/>
      <c r="AE39" s="17"/>
      <c r="AF39" s="17"/>
      <c r="AG39" s="17"/>
      <c r="AH39" s="17"/>
      <c r="AI39" s="17"/>
      <c r="AJ39" s="17"/>
      <c r="AK39" s="17"/>
      <c r="AL39" s="17"/>
      <c r="AM39" s="17"/>
      <c r="AN39" s="17"/>
      <c r="AO39" s="17"/>
      <c r="AP39" s="17"/>
      <c r="AQ39" s="17"/>
      <c r="AR39" s="17"/>
    </row>
    <row r="40" spans="1:44">
      <c r="A40" s="17"/>
      <c r="B40" s="17"/>
      <c r="C40" s="17"/>
      <c r="D40" s="17"/>
      <c r="E40" s="17"/>
      <c r="F40" s="17"/>
      <c r="G40" s="17"/>
      <c r="H40" s="17"/>
      <c r="I40" s="17"/>
      <c r="J40" s="17"/>
      <c r="K40" s="17"/>
      <c r="L40" s="17"/>
      <c r="M40" s="17"/>
      <c r="N40" s="17"/>
      <c r="O40" s="17"/>
      <c r="P40" s="17"/>
      <c r="Q40" s="17"/>
      <c r="R40" s="17"/>
      <c r="S40" s="17"/>
      <c r="T40" s="17"/>
      <c r="U40" s="17"/>
      <c r="V40" s="17"/>
      <c r="W40" s="18"/>
      <c r="X40" s="18"/>
      <c r="Y40" s="17"/>
      <c r="Z40" s="17"/>
      <c r="AA40" s="17"/>
      <c r="AB40" s="17"/>
      <c r="AC40" s="17"/>
      <c r="AD40" s="17"/>
      <c r="AE40" s="17"/>
      <c r="AF40" s="17"/>
      <c r="AG40" s="17"/>
      <c r="AH40" s="17"/>
      <c r="AI40" s="17"/>
      <c r="AJ40" s="17"/>
      <c r="AK40" s="17"/>
      <c r="AL40" s="17"/>
      <c r="AM40" s="17"/>
      <c r="AN40" s="17"/>
      <c r="AO40" s="17"/>
      <c r="AP40" s="17"/>
      <c r="AQ40" s="17"/>
      <c r="AR40" s="17"/>
    </row>
    <row r="41" spans="1:44">
      <c r="A41" s="17"/>
      <c r="B41" s="17"/>
      <c r="C41" s="17"/>
      <c r="D41" s="17"/>
      <c r="E41" s="17"/>
      <c r="F41" s="17"/>
      <c r="G41" s="979" t="s">
        <v>108</v>
      </c>
      <c r="H41" s="979"/>
      <c r="I41" s="982" t="s">
        <v>109</v>
      </c>
      <c r="J41" s="983"/>
      <c r="K41" s="984" t="s">
        <v>110</v>
      </c>
      <c r="L41" s="985"/>
      <c r="M41" s="985"/>
      <c r="N41" s="986"/>
      <c r="O41" s="17"/>
      <c r="P41" s="17"/>
      <c r="Q41" s="17"/>
      <c r="R41" s="17"/>
      <c r="S41" s="17"/>
      <c r="T41" s="17"/>
      <c r="U41" s="17"/>
      <c r="V41" s="17"/>
      <c r="W41" s="18"/>
      <c r="X41" s="18"/>
      <c r="Y41" s="17"/>
      <c r="Z41" s="17"/>
      <c r="AA41" s="17"/>
      <c r="AB41" s="17"/>
      <c r="AC41" s="17"/>
      <c r="AD41" s="17"/>
      <c r="AE41" s="17"/>
      <c r="AF41" s="17"/>
      <c r="AG41" s="17"/>
      <c r="AH41" s="17"/>
      <c r="AI41" s="17"/>
      <c r="AJ41" s="17"/>
      <c r="AK41" s="17"/>
      <c r="AL41" s="17"/>
      <c r="AM41" s="17"/>
      <c r="AN41" s="17"/>
      <c r="AO41" s="17"/>
      <c r="AP41" s="17"/>
      <c r="AQ41" s="17"/>
      <c r="AR41" s="17"/>
    </row>
    <row r="42" spans="1:44" ht="31.5" customHeight="1">
      <c r="A42" s="17"/>
      <c r="B42" s="17"/>
      <c r="C42" s="17"/>
      <c r="D42" s="17"/>
      <c r="E42" s="17"/>
      <c r="F42" s="17"/>
      <c r="G42" s="979" t="s">
        <v>111</v>
      </c>
      <c r="H42" s="979"/>
      <c r="I42" s="1017" t="s">
        <v>112</v>
      </c>
      <c r="J42" s="1018"/>
      <c r="K42" s="979" t="s">
        <v>113</v>
      </c>
      <c r="L42" s="979"/>
      <c r="M42" s="979"/>
      <c r="N42" s="979"/>
      <c r="O42" s="17"/>
      <c r="P42" s="17"/>
      <c r="Q42" s="17"/>
      <c r="R42" s="17"/>
      <c r="S42" s="17"/>
      <c r="T42" s="17"/>
      <c r="U42" s="17"/>
      <c r="V42" s="24"/>
      <c r="W42" s="18"/>
      <c r="X42" s="18"/>
      <c r="Y42" s="17"/>
      <c r="Z42" s="17"/>
      <c r="AA42" s="17"/>
      <c r="AB42" s="17"/>
      <c r="AC42" s="17"/>
      <c r="AD42" s="17"/>
      <c r="AE42" s="17"/>
      <c r="AF42" s="17"/>
      <c r="AG42" s="17"/>
      <c r="AH42" s="17"/>
      <c r="AI42" s="17"/>
      <c r="AJ42" s="17"/>
      <c r="AK42" s="17"/>
      <c r="AL42" s="17"/>
      <c r="AM42" s="17"/>
      <c r="AN42" s="17"/>
      <c r="AO42" s="17"/>
      <c r="AP42" s="17"/>
      <c r="AQ42" s="17"/>
      <c r="AR42" s="17"/>
    </row>
    <row r="43" spans="1:44" ht="25.5" customHeight="1">
      <c r="G43" s="979" t="s">
        <v>114</v>
      </c>
      <c r="H43" s="979"/>
      <c r="I43" s="979" t="s">
        <v>115</v>
      </c>
      <c r="J43" s="979"/>
      <c r="K43" s="979" t="s">
        <v>116</v>
      </c>
      <c r="L43" s="979"/>
      <c r="M43" s="979"/>
      <c r="N43" s="979"/>
    </row>
    <row r="44" spans="1:44">
      <c r="G44" s="19"/>
      <c r="H44" s="17"/>
      <c r="I44" s="17"/>
      <c r="J44" s="17"/>
    </row>
  </sheetData>
  <autoFilter ref="A9:BI32" xr:uid="{00000000-0001-0000-0C00-000000000000}">
    <filterColumn colId="15">
      <filters>
        <filter val="TIC-3-2026 Bindar apoyo técnico y/o profesional para la capacitación de personas en tecnologías de la información y las comunicaciones."/>
      </filters>
    </filterColumn>
  </autoFilter>
  <mergeCells count="32">
    <mergeCell ref="G42:H42"/>
    <mergeCell ref="I42:J42"/>
    <mergeCell ref="K42:N42"/>
    <mergeCell ref="G43:H43"/>
    <mergeCell ref="I43:J43"/>
    <mergeCell ref="K43:N43"/>
    <mergeCell ref="K37:Q37"/>
    <mergeCell ref="K38:Q38"/>
    <mergeCell ref="G41:H41"/>
    <mergeCell ref="I41:J41"/>
    <mergeCell ref="K41:N41"/>
    <mergeCell ref="AP7:AP9"/>
    <mergeCell ref="AQ7:AQ9"/>
    <mergeCell ref="V8:X8"/>
    <mergeCell ref="Y8:Z8"/>
    <mergeCell ref="AA8:AD8"/>
    <mergeCell ref="AE8:AJ8"/>
    <mergeCell ref="AK8:AM8"/>
    <mergeCell ref="AN8:AN9"/>
    <mergeCell ref="Y7:AN7"/>
    <mergeCell ref="A1:B6"/>
    <mergeCell ref="C1:AO1"/>
    <mergeCell ref="C2:AO4"/>
    <mergeCell ref="C5:AO6"/>
    <mergeCell ref="A7:B8"/>
    <mergeCell ref="C7:D8"/>
    <mergeCell ref="E7:F8"/>
    <mergeCell ref="G7:H8"/>
    <mergeCell ref="I7:J8"/>
    <mergeCell ref="K7:M8"/>
    <mergeCell ref="AO7:AO9"/>
    <mergeCell ref="N7:Q8"/>
  </mergeCells>
  <conditionalFormatting sqref="I25">
    <cfRule type="duplicateValues" dxfId="3" priority="1"/>
    <cfRule type="duplicateValues" dxfId="2" priority="2"/>
    <cfRule type="duplicateValues" dxfId="1" priority="3"/>
    <cfRule type="duplicateValues" dxfId="0" priority="4"/>
  </conditionalFormatting>
  <dataValidations count="1">
    <dataValidation type="list" allowBlank="1" showInputMessage="1" showErrorMessage="1" sqref="J17:J19" xr:uid="{00000000-0002-0000-0C00-000000000000}">
      <formula1>INDIRECT("_"&amp;#REF!)</formula1>
    </dataValidation>
  </dataValidations>
  <pageMargins left="0.25" right="0.25" top="0.75" bottom="0.75" header="0.3" footer="0.3"/>
  <pageSetup scale="13" fitToHeight="6" orientation="portrait"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WO34"/>
  <sheetViews>
    <sheetView topLeftCell="K1" zoomScale="70" zoomScaleNormal="70" zoomScaleSheetLayoutView="70" workbookViewId="0">
      <pane ySplit="9" topLeftCell="A10" activePane="bottomLeft" state="frozen"/>
      <selection pane="bottomLeft" activeCell="P10" sqref="P10"/>
    </sheetView>
  </sheetViews>
  <sheetFormatPr defaultColWidth="11.42578125" defaultRowHeight="15" customHeight="1"/>
  <cols>
    <col min="1" max="1" width="12.28515625" customWidth="1"/>
    <col min="2" max="2" width="18.42578125" customWidth="1"/>
    <col min="3" max="3" width="9.42578125" customWidth="1"/>
    <col min="4" max="4" width="11.42578125" customWidth="1"/>
    <col min="5" max="5" width="9.7109375" customWidth="1"/>
    <col min="6" max="6" width="19" customWidth="1"/>
    <col min="7" max="7" width="13.7109375" customWidth="1"/>
    <col min="8" max="8" width="19.140625" customWidth="1"/>
    <col min="9" max="9" width="13.7109375" customWidth="1"/>
    <col min="10" max="10" width="19" customWidth="1"/>
    <col min="11" max="13" width="15.7109375" customWidth="1"/>
    <col min="14" max="14" width="17.42578125" customWidth="1"/>
    <col min="15" max="15" width="40" customWidth="1"/>
    <col min="16" max="16" width="30.42578125" customWidth="1"/>
    <col min="17" max="17" width="23.28515625" bestFit="1" customWidth="1"/>
    <col min="18" max="18" width="24.85546875" customWidth="1"/>
    <col min="19" max="19" width="23.42578125" customWidth="1"/>
    <col min="20" max="20" width="22" customWidth="1"/>
    <col min="21" max="21" width="23.28515625" bestFit="1" customWidth="1"/>
    <col min="22" max="22" width="23.42578125" customWidth="1"/>
    <col min="23" max="23" width="12" customWidth="1"/>
    <col min="24" max="24" width="17.42578125" customWidth="1"/>
    <col min="25" max="25" width="10.7109375" customWidth="1"/>
    <col min="26" max="26" width="11" customWidth="1"/>
    <col min="27" max="27" width="9.28515625" customWidth="1"/>
    <col min="28" max="28" width="7.42578125" customWidth="1"/>
    <col min="29" max="29" width="9.42578125" customWidth="1"/>
    <col min="30" max="30" width="8.42578125" customWidth="1"/>
    <col min="31" max="31" width="9.42578125" customWidth="1"/>
    <col min="32" max="32" width="8.85546875" customWidth="1"/>
    <col min="33" max="33" width="6.7109375" customWidth="1"/>
    <col min="34" max="34" width="6.42578125" customWidth="1"/>
    <col min="35" max="35" width="6.28515625" customWidth="1"/>
    <col min="36" max="36" width="6.42578125" customWidth="1"/>
    <col min="37" max="37" width="11.7109375" customWidth="1"/>
    <col min="38" max="38" width="10.85546875" customWidth="1"/>
    <col min="39" max="39" width="7.28515625" customWidth="1"/>
    <col min="40" max="40" width="11" customWidth="1"/>
    <col min="41" max="41" width="14.28515625" customWidth="1"/>
    <col min="42" max="42" width="14.42578125" customWidth="1"/>
    <col min="43" max="43" width="19.42578125" customWidth="1"/>
  </cols>
  <sheetData>
    <row r="1" spans="1:613">
      <c r="A1" s="1001"/>
      <c r="B1" s="1001"/>
      <c r="C1" s="1002" t="s">
        <v>0</v>
      </c>
      <c r="D1" s="1002"/>
      <c r="E1" s="1002"/>
      <c r="F1" s="1002"/>
      <c r="G1" s="1002"/>
      <c r="H1" s="1002"/>
      <c r="I1" s="1002"/>
      <c r="J1" s="1002"/>
      <c r="K1" s="1002"/>
      <c r="L1" s="1002"/>
      <c r="M1" s="1002"/>
      <c r="N1" s="1002"/>
      <c r="O1" s="1002"/>
      <c r="P1" s="1002"/>
      <c r="Q1" s="1002"/>
      <c r="R1" s="1002"/>
      <c r="S1" s="1002"/>
      <c r="T1" s="1002"/>
      <c r="U1" s="1002"/>
      <c r="V1" s="1002"/>
      <c r="W1" s="1002"/>
      <c r="X1" s="1002"/>
      <c r="Y1" s="1002"/>
      <c r="Z1" s="1002"/>
      <c r="AA1" s="1002"/>
      <c r="AB1" s="1002"/>
      <c r="AC1" s="1002"/>
      <c r="AD1" s="1002"/>
      <c r="AE1" s="1002"/>
      <c r="AF1" s="1002"/>
      <c r="AG1" s="1002"/>
      <c r="AH1" s="1002"/>
      <c r="AI1" s="1002"/>
      <c r="AJ1" s="1002"/>
      <c r="AK1" s="1002"/>
      <c r="AL1" s="1002"/>
      <c r="AM1" s="1002"/>
      <c r="AN1" s="1002"/>
      <c r="AO1" s="1002"/>
    </row>
    <row r="2" spans="1:613" s="2" customFormat="1" ht="14.45" customHeight="1">
      <c r="A2" s="1001"/>
      <c r="B2" s="1001"/>
      <c r="C2" s="1003" t="s">
        <v>2448</v>
      </c>
      <c r="D2" s="1003"/>
      <c r="E2" s="1003"/>
      <c r="F2" s="1003"/>
      <c r="G2" s="1003"/>
      <c r="H2" s="1003"/>
      <c r="I2" s="1003"/>
      <c r="J2" s="1003"/>
      <c r="K2" s="1003"/>
      <c r="L2" s="1003"/>
      <c r="M2" s="1003"/>
      <c r="N2" s="1003"/>
      <c r="O2" s="1003"/>
      <c r="P2" s="1003"/>
      <c r="Q2" s="1003"/>
      <c r="R2" s="1003"/>
      <c r="S2" s="1003"/>
      <c r="T2" s="1003"/>
      <c r="U2" s="1003"/>
      <c r="V2" s="1003"/>
      <c r="W2" s="1003"/>
      <c r="X2" s="1003"/>
      <c r="Y2" s="1003"/>
      <c r="Z2" s="1003"/>
      <c r="AA2" s="1003"/>
      <c r="AB2" s="1003"/>
      <c r="AC2" s="1003"/>
      <c r="AD2" s="1003"/>
      <c r="AE2" s="1003"/>
      <c r="AF2" s="1003"/>
      <c r="AG2" s="1003"/>
      <c r="AH2" s="1003"/>
      <c r="AI2" s="1003"/>
      <c r="AJ2" s="1003"/>
      <c r="AK2" s="1003"/>
      <c r="AL2" s="1003"/>
      <c r="AM2" s="1003"/>
      <c r="AN2" s="1003"/>
      <c r="AO2" s="1003"/>
      <c r="AP2" s="25" t="s">
        <v>2</v>
      </c>
      <c r="AQ2" s="957" t="s">
        <v>3</v>
      </c>
      <c r="AR2" s="1"/>
      <c r="AS2" s="1"/>
      <c r="AT2" s="1"/>
      <c r="AU2" s="1"/>
      <c r="AV2" s="1"/>
      <c r="AW2" s="1"/>
      <c r="AX2" s="1"/>
      <c r="AY2" s="1"/>
      <c r="AZ2" s="1"/>
      <c r="BA2" s="1"/>
      <c r="BB2" s="1"/>
      <c r="BC2" s="1"/>
      <c r="BD2" s="1"/>
      <c r="BE2" s="1"/>
      <c r="BF2" s="1"/>
      <c r="BG2" s="1"/>
      <c r="BH2" s="1"/>
      <c r="BI2" s="1"/>
    </row>
    <row r="3" spans="1:613" s="2" customFormat="1" ht="11.25" customHeight="1">
      <c r="A3" s="1001"/>
      <c r="B3" s="1001"/>
      <c r="C3" s="1003"/>
      <c r="D3" s="1003"/>
      <c r="E3" s="1003"/>
      <c r="F3" s="1003"/>
      <c r="G3" s="1003"/>
      <c r="H3" s="1003"/>
      <c r="I3" s="1003"/>
      <c r="J3" s="1003"/>
      <c r="K3" s="1003"/>
      <c r="L3" s="1003"/>
      <c r="M3" s="1003"/>
      <c r="N3" s="1003"/>
      <c r="O3" s="1003"/>
      <c r="P3" s="1003"/>
      <c r="Q3" s="1003"/>
      <c r="R3" s="1003"/>
      <c r="S3" s="1003"/>
      <c r="T3" s="1003"/>
      <c r="U3" s="1003"/>
      <c r="V3" s="1003"/>
      <c r="W3" s="1003"/>
      <c r="X3" s="1003"/>
      <c r="Y3" s="1003"/>
      <c r="Z3" s="1003"/>
      <c r="AA3" s="1003"/>
      <c r="AB3" s="1003"/>
      <c r="AC3" s="1003"/>
      <c r="AD3" s="1003"/>
      <c r="AE3" s="1003"/>
      <c r="AF3" s="1003"/>
      <c r="AG3" s="1003"/>
      <c r="AH3" s="1003"/>
      <c r="AI3" s="1003"/>
      <c r="AJ3" s="1003"/>
      <c r="AK3" s="1003"/>
      <c r="AL3" s="1003"/>
      <c r="AM3" s="1003"/>
      <c r="AN3" s="1003"/>
      <c r="AO3" s="1003"/>
      <c r="AP3" s="42" t="s">
        <v>4</v>
      </c>
      <c r="AQ3" s="40">
        <v>14</v>
      </c>
      <c r="AR3" s="1"/>
      <c r="AS3" s="1"/>
      <c r="AT3" s="1"/>
      <c r="AU3" s="1"/>
      <c r="AV3" s="1"/>
      <c r="AW3" s="1"/>
      <c r="AX3" s="1"/>
      <c r="AY3" s="1"/>
      <c r="AZ3" s="1"/>
      <c r="BA3" s="1"/>
      <c r="BB3" s="1"/>
      <c r="BC3" s="1"/>
      <c r="BD3" s="1"/>
      <c r="BE3" s="1"/>
      <c r="BF3" s="1"/>
      <c r="BG3" s="1"/>
      <c r="BH3" s="1"/>
      <c r="BI3" s="1"/>
    </row>
    <row r="4" spans="1:613" s="2" customFormat="1" ht="18.75" customHeight="1">
      <c r="A4" s="1001"/>
      <c r="B4" s="1001"/>
      <c r="C4" s="1003"/>
      <c r="D4" s="1003"/>
      <c r="E4" s="1003"/>
      <c r="F4" s="1003"/>
      <c r="G4" s="1003"/>
      <c r="H4" s="1003"/>
      <c r="I4" s="1003"/>
      <c r="J4" s="1003"/>
      <c r="K4" s="1003"/>
      <c r="L4" s="1003"/>
      <c r="M4" s="1003"/>
      <c r="N4" s="1003"/>
      <c r="O4" s="1003"/>
      <c r="P4" s="1003"/>
      <c r="Q4" s="1003"/>
      <c r="R4" s="1003"/>
      <c r="S4" s="1003"/>
      <c r="T4" s="1003"/>
      <c r="U4" s="1003"/>
      <c r="V4" s="1003"/>
      <c r="W4" s="1003"/>
      <c r="X4" s="1003"/>
      <c r="Y4" s="1003"/>
      <c r="Z4" s="1003"/>
      <c r="AA4" s="1003"/>
      <c r="AB4" s="1003"/>
      <c r="AC4" s="1003"/>
      <c r="AD4" s="1003"/>
      <c r="AE4" s="1003"/>
      <c r="AF4" s="1003"/>
      <c r="AG4" s="1003"/>
      <c r="AH4" s="1003"/>
      <c r="AI4" s="1003"/>
      <c r="AJ4" s="1003"/>
      <c r="AK4" s="1003"/>
      <c r="AL4" s="1003"/>
      <c r="AM4" s="1003"/>
      <c r="AN4" s="1003"/>
      <c r="AO4" s="1003"/>
      <c r="AP4" s="42" t="s">
        <v>5</v>
      </c>
      <c r="AQ4" s="41">
        <v>45884</v>
      </c>
      <c r="AR4" s="1"/>
      <c r="AS4" s="1"/>
      <c r="AT4" s="1"/>
      <c r="AU4" s="1"/>
      <c r="AV4" s="1"/>
      <c r="AW4" s="1"/>
      <c r="AX4" s="1"/>
      <c r="AY4" s="1"/>
      <c r="AZ4" s="1"/>
      <c r="BA4" s="1"/>
      <c r="BB4" s="1"/>
      <c r="BC4" s="1"/>
      <c r="BD4" s="1"/>
      <c r="BE4" s="1"/>
      <c r="BF4" s="1"/>
      <c r="BG4" s="1"/>
      <c r="BH4" s="1"/>
      <c r="BI4" s="1"/>
    </row>
    <row r="5" spans="1:613" s="2" customFormat="1" ht="14.45" customHeight="1">
      <c r="A5" s="1001"/>
      <c r="B5" s="1001"/>
      <c r="C5" s="1004" t="s">
        <v>6</v>
      </c>
      <c r="D5" s="1004"/>
      <c r="E5" s="1004"/>
      <c r="F5" s="1004"/>
      <c r="G5" s="1004"/>
      <c r="H5" s="1004"/>
      <c r="I5" s="1004"/>
      <c r="J5" s="1004"/>
      <c r="K5" s="1004"/>
      <c r="L5" s="1004"/>
      <c r="M5" s="1004"/>
      <c r="N5" s="1004"/>
      <c r="O5" s="1004"/>
      <c r="P5" s="1004"/>
      <c r="Q5" s="1004"/>
      <c r="R5" s="1004"/>
      <c r="S5" s="1004"/>
      <c r="T5" s="1004"/>
      <c r="U5" s="1004"/>
      <c r="V5" s="1004"/>
      <c r="W5" s="1004"/>
      <c r="X5" s="1004"/>
      <c r="Y5" s="1004"/>
      <c r="Z5" s="1004"/>
      <c r="AA5" s="1004"/>
      <c r="AB5" s="1004"/>
      <c r="AC5" s="1004"/>
      <c r="AD5" s="1004"/>
      <c r="AE5" s="1004"/>
      <c r="AF5" s="1004"/>
      <c r="AG5" s="1004"/>
      <c r="AH5" s="1004"/>
      <c r="AI5" s="1004"/>
      <c r="AJ5" s="1004"/>
      <c r="AK5" s="1004"/>
      <c r="AL5" s="1004"/>
      <c r="AM5" s="1004"/>
      <c r="AN5" s="1004"/>
      <c r="AO5" s="1004"/>
      <c r="AP5" s="25" t="s">
        <v>7</v>
      </c>
      <c r="AQ5" s="3" t="s">
        <v>8</v>
      </c>
      <c r="AR5" s="1"/>
      <c r="AS5" s="1"/>
      <c r="AT5" s="1"/>
      <c r="AU5" s="1"/>
      <c r="AV5" s="1"/>
      <c r="AW5" s="1"/>
      <c r="AX5" s="1"/>
      <c r="AY5" s="1"/>
      <c r="AZ5" s="1"/>
      <c r="BA5" s="1"/>
      <c r="BB5" s="1"/>
      <c r="BC5" s="1"/>
      <c r="BD5" s="1"/>
      <c r="BE5" s="1"/>
      <c r="BF5" s="1"/>
      <c r="BG5" s="1"/>
      <c r="BH5" s="1"/>
      <c r="BI5" s="1"/>
    </row>
    <row r="6" spans="1:613" s="2" customFormat="1" ht="9.75" customHeight="1">
      <c r="A6" s="1001"/>
      <c r="B6" s="1001"/>
      <c r="C6" s="1004"/>
      <c r="D6" s="1004"/>
      <c r="E6" s="1004"/>
      <c r="F6" s="1004"/>
      <c r="G6" s="1004"/>
      <c r="H6" s="1004"/>
      <c r="I6" s="1004"/>
      <c r="J6" s="1004"/>
      <c r="K6" s="1005"/>
      <c r="L6" s="1005"/>
      <c r="M6" s="1005"/>
      <c r="N6" s="1004"/>
      <c r="O6" s="1004"/>
      <c r="P6" s="1004"/>
      <c r="Q6" s="1004"/>
      <c r="R6" s="1004"/>
      <c r="S6" s="1004"/>
      <c r="T6" s="1004"/>
      <c r="U6" s="1004"/>
      <c r="V6" s="1004"/>
      <c r="W6" s="1004"/>
      <c r="X6" s="1004"/>
      <c r="Y6" s="1004"/>
      <c r="Z6" s="1004"/>
      <c r="AA6" s="1004"/>
      <c r="AB6" s="1004"/>
      <c r="AC6" s="1004"/>
      <c r="AD6" s="1004"/>
      <c r="AE6" s="1004"/>
      <c r="AF6" s="1004"/>
      <c r="AG6" s="1004"/>
      <c r="AH6" s="1004"/>
      <c r="AI6" s="1004"/>
      <c r="AJ6" s="1004"/>
      <c r="AK6" s="1004"/>
      <c r="AL6" s="1004"/>
      <c r="AM6" s="1004"/>
      <c r="AN6" s="1004"/>
      <c r="AO6" s="1004"/>
      <c r="AP6" s="4"/>
      <c r="AQ6" s="5"/>
      <c r="AR6" s="1"/>
      <c r="AS6" s="1"/>
      <c r="AT6" s="1"/>
      <c r="AU6" s="1"/>
      <c r="AV6" s="1"/>
      <c r="AW6" s="1"/>
      <c r="AX6" s="1"/>
      <c r="AY6" s="1"/>
      <c r="AZ6" s="1"/>
      <c r="BA6" s="1"/>
      <c r="BB6" s="1"/>
      <c r="BC6" s="1"/>
      <c r="BD6" s="1"/>
      <c r="BE6" s="1"/>
      <c r="BF6" s="1"/>
      <c r="BG6" s="1"/>
      <c r="BH6" s="1"/>
      <c r="BI6" s="1"/>
    </row>
    <row r="7" spans="1:613" ht="21" customHeight="1">
      <c r="A7" s="1006" t="s">
        <v>9</v>
      </c>
      <c r="B7" s="1007"/>
      <c r="C7" s="1006" t="s">
        <v>10</v>
      </c>
      <c r="D7" s="1010"/>
      <c r="E7" s="1006" t="s">
        <v>11</v>
      </c>
      <c r="F7" s="1010"/>
      <c r="G7" s="1006" t="s">
        <v>12</v>
      </c>
      <c r="H7" s="1010"/>
      <c r="I7" s="1012" t="s">
        <v>13</v>
      </c>
      <c r="J7" s="1012"/>
      <c r="K7" s="1014" t="s">
        <v>14</v>
      </c>
      <c r="L7" s="1014"/>
      <c r="M7" s="1014"/>
      <c r="N7" s="1015" t="s">
        <v>15</v>
      </c>
      <c r="O7" s="1015"/>
      <c r="P7" s="1015"/>
      <c r="Q7" s="1015"/>
      <c r="R7" s="33"/>
      <c r="S7" s="958"/>
      <c r="T7" s="958"/>
      <c r="U7" s="958"/>
      <c r="V7" s="473"/>
      <c r="W7" s="473"/>
      <c r="X7" s="474"/>
      <c r="Y7" s="1129" t="s">
        <v>16</v>
      </c>
      <c r="Z7" s="1130"/>
      <c r="AA7" s="1130"/>
      <c r="AB7" s="1130"/>
      <c r="AC7" s="1130"/>
      <c r="AD7" s="1130"/>
      <c r="AE7" s="1130"/>
      <c r="AF7" s="1130"/>
      <c r="AG7" s="1130"/>
      <c r="AH7" s="1130"/>
      <c r="AI7" s="1130"/>
      <c r="AJ7" s="1130"/>
      <c r="AK7" s="1130"/>
      <c r="AL7" s="1130"/>
      <c r="AM7" s="1130"/>
      <c r="AN7" s="1131"/>
      <c r="AO7" s="987" t="s">
        <v>17</v>
      </c>
      <c r="AP7" s="987" t="s">
        <v>18</v>
      </c>
      <c r="AQ7" s="987" t="s">
        <v>19</v>
      </c>
    </row>
    <row r="8" spans="1:613" s="9" customFormat="1" ht="12.75" customHeight="1">
      <c r="A8" s="1008"/>
      <c r="B8" s="1009"/>
      <c r="C8" s="1008"/>
      <c r="D8" s="1011"/>
      <c r="E8" s="1008"/>
      <c r="F8" s="1011"/>
      <c r="G8" s="1008"/>
      <c r="H8" s="1011"/>
      <c r="I8" s="1013"/>
      <c r="J8" s="1013"/>
      <c r="K8" s="1014"/>
      <c r="L8" s="1014"/>
      <c r="M8" s="1014"/>
      <c r="N8" s="1016"/>
      <c r="O8" s="1016"/>
      <c r="P8" s="1016"/>
      <c r="Q8" s="1016"/>
      <c r="R8" s="34"/>
      <c r="S8" s="959"/>
      <c r="T8" s="959"/>
      <c r="U8" s="959"/>
      <c r="V8" s="990" t="s">
        <v>20</v>
      </c>
      <c r="W8" s="991"/>
      <c r="X8" s="992"/>
      <c r="Y8" s="993" t="s">
        <v>21</v>
      </c>
      <c r="Z8" s="994"/>
      <c r="AA8" s="995" t="s">
        <v>22</v>
      </c>
      <c r="AB8" s="994"/>
      <c r="AC8" s="994"/>
      <c r="AD8" s="994"/>
      <c r="AE8" s="996" t="s">
        <v>23</v>
      </c>
      <c r="AF8" s="994"/>
      <c r="AG8" s="994"/>
      <c r="AH8" s="994"/>
      <c r="AI8" s="994"/>
      <c r="AJ8" s="994"/>
      <c r="AK8" s="995" t="s">
        <v>24</v>
      </c>
      <c r="AL8" s="994"/>
      <c r="AM8" s="994"/>
      <c r="AN8" s="997" t="s">
        <v>25</v>
      </c>
      <c r="AO8" s="988"/>
      <c r="AP8" s="988"/>
      <c r="AQ8" s="988"/>
      <c r="AR8" s="8"/>
      <c r="AS8" s="8"/>
      <c r="AT8" s="8"/>
      <c r="AU8" s="8"/>
      <c r="AV8" s="8"/>
      <c r="AW8" s="8"/>
      <c r="AX8" s="8"/>
      <c r="AY8" s="8"/>
      <c r="AZ8" s="8"/>
      <c r="BA8" s="8"/>
      <c r="BB8" s="8"/>
      <c r="BC8" s="8"/>
      <c r="BD8" s="8"/>
      <c r="BE8" s="8"/>
      <c r="BF8" s="8"/>
    </row>
    <row r="9" spans="1:613" s="16" customFormat="1" ht="101.25" thickBot="1">
      <c r="A9" s="10" t="s">
        <v>26</v>
      </c>
      <c r="B9" s="10" t="s">
        <v>27</v>
      </c>
      <c r="C9" s="10" t="s">
        <v>28</v>
      </c>
      <c r="D9" s="11" t="s">
        <v>29</v>
      </c>
      <c r="E9" s="11" t="s">
        <v>28</v>
      </c>
      <c r="F9" s="11" t="s">
        <v>29</v>
      </c>
      <c r="G9" s="12" t="s">
        <v>26</v>
      </c>
      <c r="H9" s="12" t="s">
        <v>29</v>
      </c>
      <c r="I9" s="12" t="s">
        <v>30</v>
      </c>
      <c r="J9" s="12" t="s">
        <v>31</v>
      </c>
      <c r="K9" s="39" t="s">
        <v>32</v>
      </c>
      <c r="L9" s="39" t="s">
        <v>33</v>
      </c>
      <c r="M9" s="39" t="s">
        <v>25</v>
      </c>
      <c r="N9" s="12" t="s">
        <v>34</v>
      </c>
      <c r="O9" s="12" t="s">
        <v>35</v>
      </c>
      <c r="P9" s="11" t="s">
        <v>36</v>
      </c>
      <c r="Q9" s="13" t="s">
        <v>37</v>
      </c>
      <c r="R9" s="35" t="s">
        <v>38</v>
      </c>
      <c r="S9" s="13" t="s">
        <v>39</v>
      </c>
      <c r="T9" s="13" t="s">
        <v>40</v>
      </c>
      <c r="U9" s="13" t="s">
        <v>41</v>
      </c>
      <c r="V9" s="10" t="s">
        <v>42</v>
      </c>
      <c r="W9" s="11" t="s">
        <v>26</v>
      </c>
      <c r="X9" s="11" t="s">
        <v>27</v>
      </c>
      <c r="Y9" s="14" t="s">
        <v>43</v>
      </c>
      <c r="Z9" s="15" t="s">
        <v>44</v>
      </c>
      <c r="AA9" s="14" t="s">
        <v>45</v>
      </c>
      <c r="AB9" s="14" t="s">
        <v>46</v>
      </c>
      <c r="AC9" s="14" t="s">
        <v>47</v>
      </c>
      <c r="AD9" s="14" t="s">
        <v>48</v>
      </c>
      <c r="AE9" s="14" t="s">
        <v>49</v>
      </c>
      <c r="AF9" s="14" t="s">
        <v>50</v>
      </c>
      <c r="AG9" s="14" t="s">
        <v>51</v>
      </c>
      <c r="AH9" s="14" t="s">
        <v>52</v>
      </c>
      <c r="AI9" s="14" t="s">
        <v>53</v>
      </c>
      <c r="AJ9" s="14" t="s">
        <v>54</v>
      </c>
      <c r="AK9" s="14" t="s">
        <v>55</v>
      </c>
      <c r="AL9" s="14" t="s">
        <v>56</v>
      </c>
      <c r="AM9" s="14" t="s">
        <v>57</v>
      </c>
      <c r="AN9" s="997"/>
      <c r="AO9" s="989"/>
      <c r="AP9" s="989"/>
      <c r="AQ9" s="989"/>
      <c r="AR9" s="8"/>
      <c r="AS9" s="8"/>
      <c r="AT9" s="8"/>
      <c r="AU9" s="8"/>
      <c r="AV9" s="8"/>
      <c r="AW9" s="8"/>
      <c r="AX9" s="8"/>
      <c r="AY9" s="8"/>
      <c r="AZ9" s="8"/>
      <c r="BA9" s="8"/>
      <c r="BB9" s="8"/>
      <c r="BC9" s="8"/>
      <c r="BD9" s="8"/>
      <c r="BE9" s="8"/>
      <c r="BF9" s="8"/>
    </row>
    <row r="10" spans="1:613" s="16" customFormat="1" ht="57.6" customHeight="1" thickBot="1">
      <c r="A10" s="100">
        <v>3</v>
      </c>
      <c r="B10" s="116" t="s">
        <v>2449</v>
      </c>
      <c r="C10" s="100">
        <v>24</v>
      </c>
      <c r="D10" s="116" t="s">
        <v>2450</v>
      </c>
      <c r="E10" s="100">
        <v>2409</v>
      </c>
      <c r="F10" s="475" t="s">
        <v>2451</v>
      </c>
      <c r="G10" s="100">
        <v>2409022</v>
      </c>
      <c r="H10" s="386" t="s">
        <v>2452</v>
      </c>
      <c r="I10" s="358">
        <v>240902200</v>
      </c>
      <c r="J10" s="476" t="s">
        <v>2453</v>
      </c>
      <c r="K10" s="358">
        <v>500</v>
      </c>
      <c r="L10" s="358"/>
      <c r="M10" s="358">
        <f t="shared" ref="M10:M21" si="0">K10+L10</f>
        <v>500</v>
      </c>
      <c r="N10" s="117">
        <v>2024003630018</v>
      </c>
      <c r="O10" s="116" t="s">
        <v>2454</v>
      </c>
      <c r="P10" s="386" t="s">
        <v>2455</v>
      </c>
      <c r="Q10" s="130">
        <v>66600000</v>
      </c>
      <c r="R10" s="129"/>
      <c r="S10" s="130"/>
      <c r="T10" s="130"/>
      <c r="U10" s="130">
        <v>66600000</v>
      </c>
      <c r="V10" s="357" t="s">
        <v>2456</v>
      </c>
      <c r="W10" s="357">
        <v>1</v>
      </c>
      <c r="X10" s="477" t="s">
        <v>2457</v>
      </c>
      <c r="Y10" s="478">
        <v>56377</v>
      </c>
      <c r="Z10" s="479">
        <v>56570</v>
      </c>
      <c r="AA10" s="479">
        <v>21068</v>
      </c>
      <c r="AB10" s="479">
        <v>7295</v>
      </c>
      <c r="AC10" s="352">
        <v>61732</v>
      </c>
      <c r="AD10" s="479">
        <v>22852</v>
      </c>
      <c r="AE10" s="479">
        <v>457</v>
      </c>
      <c r="AF10" s="479">
        <v>660</v>
      </c>
      <c r="AG10" s="479">
        <v>2</v>
      </c>
      <c r="AH10" s="479">
        <v>1</v>
      </c>
      <c r="AI10" s="479">
        <v>0</v>
      </c>
      <c r="AJ10" s="480">
        <v>0</v>
      </c>
      <c r="AK10" s="480">
        <v>0</v>
      </c>
      <c r="AL10" s="480">
        <v>0</v>
      </c>
      <c r="AM10" s="480">
        <v>0</v>
      </c>
      <c r="AN10" s="481">
        <f t="shared" ref="AN10:AN21" si="1">+Y10+Z10</f>
        <v>112947</v>
      </c>
      <c r="AO10" s="482">
        <v>46067</v>
      </c>
      <c r="AP10" s="483">
        <v>46387</v>
      </c>
      <c r="AQ10" s="484" t="s">
        <v>2458</v>
      </c>
      <c r="AR10" s="8"/>
      <c r="AS10" s="8"/>
      <c r="AT10" s="8"/>
      <c r="AU10" s="8"/>
      <c r="AV10" s="8"/>
      <c r="AW10" s="8"/>
      <c r="AX10" s="8"/>
      <c r="AY10" s="8"/>
      <c r="AZ10" s="8"/>
      <c r="BA10" s="8"/>
      <c r="BB10" s="8"/>
      <c r="BC10" s="8"/>
      <c r="BD10" s="8"/>
      <c r="BE10" s="8"/>
      <c r="BF10" s="8"/>
    </row>
    <row r="11" spans="1:613" s="16" customFormat="1" ht="57.6" customHeight="1" thickBot="1">
      <c r="A11" s="100">
        <v>3</v>
      </c>
      <c r="B11" s="116" t="s">
        <v>2449</v>
      </c>
      <c r="C11" s="100">
        <v>24</v>
      </c>
      <c r="D11" s="116" t="s">
        <v>2450</v>
      </c>
      <c r="E11" s="100">
        <v>2409</v>
      </c>
      <c r="F11" s="475" t="s">
        <v>2451</v>
      </c>
      <c r="G11" s="100" t="s">
        <v>2459</v>
      </c>
      <c r="H11" s="386" t="s">
        <v>2460</v>
      </c>
      <c r="I11" s="358" t="s">
        <v>2461</v>
      </c>
      <c r="J11" s="476" t="s">
        <v>2462</v>
      </c>
      <c r="K11" s="358">
        <v>25</v>
      </c>
      <c r="L11" s="358"/>
      <c r="M11" s="358">
        <f t="shared" si="0"/>
        <v>25</v>
      </c>
      <c r="N11" s="117">
        <v>2024003630018</v>
      </c>
      <c r="O11" s="116" t="s">
        <v>2454</v>
      </c>
      <c r="P11" s="386" t="s">
        <v>2463</v>
      </c>
      <c r="Q11" s="130">
        <v>85000000</v>
      </c>
      <c r="R11" s="129"/>
      <c r="S11" s="130"/>
      <c r="T11" s="130"/>
      <c r="U11" s="130">
        <v>85000000</v>
      </c>
      <c r="V11" s="357" t="s">
        <v>2464</v>
      </c>
      <c r="W11" s="357">
        <v>1</v>
      </c>
      <c r="X11" s="485" t="s">
        <v>2465</v>
      </c>
      <c r="Y11" s="479">
        <v>56377</v>
      </c>
      <c r="Z11" s="479">
        <v>56570</v>
      </c>
      <c r="AA11" s="479">
        <v>21068</v>
      </c>
      <c r="AB11" s="479">
        <v>7295</v>
      </c>
      <c r="AC11" s="352">
        <v>61732</v>
      </c>
      <c r="AD11" s="479">
        <v>22852</v>
      </c>
      <c r="AE11" s="479">
        <v>457</v>
      </c>
      <c r="AF11" s="479">
        <v>660</v>
      </c>
      <c r="AG11" s="479">
        <v>2</v>
      </c>
      <c r="AH11" s="479">
        <v>1</v>
      </c>
      <c r="AI11" s="479">
        <v>0</v>
      </c>
      <c r="AJ11" s="479">
        <v>0</v>
      </c>
      <c r="AK11" s="479">
        <v>0</v>
      </c>
      <c r="AL11" s="479">
        <v>0</v>
      </c>
      <c r="AM11" s="479">
        <v>0</v>
      </c>
      <c r="AN11" s="481">
        <f t="shared" si="1"/>
        <v>112947</v>
      </c>
      <c r="AO11" s="482">
        <v>46067</v>
      </c>
      <c r="AP11" s="483">
        <v>46387</v>
      </c>
      <c r="AQ11" s="484" t="s">
        <v>2458</v>
      </c>
      <c r="AR11" s="8"/>
      <c r="AS11" s="8"/>
      <c r="AT11" s="8"/>
      <c r="AU11" s="8"/>
      <c r="AV11" s="8"/>
      <c r="AW11" s="8"/>
      <c r="AX11" s="8"/>
      <c r="AY11" s="8"/>
      <c r="AZ11" s="8"/>
      <c r="BA11" s="8"/>
      <c r="BB11" s="8"/>
      <c r="BC11" s="8"/>
      <c r="BD11" s="8"/>
      <c r="BE11" s="8"/>
      <c r="BF11" s="8"/>
    </row>
    <row r="12" spans="1:613" s="497" customFormat="1" ht="57.6" customHeight="1" thickBot="1">
      <c r="A12" s="486">
        <v>3</v>
      </c>
      <c r="B12" s="346" t="s">
        <v>2449</v>
      </c>
      <c r="C12" s="395">
        <v>24</v>
      </c>
      <c r="D12" s="346" t="s">
        <v>2450</v>
      </c>
      <c r="E12" s="395">
        <v>2409</v>
      </c>
      <c r="F12" s="487" t="s">
        <v>2451</v>
      </c>
      <c r="G12" s="395" t="s">
        <v>2466</v>
      </c>
      <c r="H12" s="346" t="s">
        <v>2467</v>
      </c>
      <c r="I12" s="395">
        <v>240903900</v>
      </c>
      <c r="J12" s="488" t="s">
        <v>2468</v>
      </c>
      <c r="K12" s="395">
        <v>7</v>
      </c>
      <c r="L12" s="395"/>
      <c r="M12" s="395">
        <v>7</v>
      </c>
      <c r="N12" s="489">
        <v>2024003630018</v>
      </c>
      <c r="O12" s="393" t="s">
        <v>2454</v>
      </c>
      <c r="P12" s="393" t="s">
        <v>2469</v>
      </c>
      <c r="Q12" s="130">
        <v>16000000</v>
      </c>
      <c r="R12" s="129"/>
      <c r="S12" s="130"/>
      <c r="T12" s="130"/>
      <c r="U12" s="130">
        <v>16000000</v>
      </c>
      <c r="V12" s="490" t="s">
        <v>2470</v>
      </c>
      <c r="W12" s="490">
        <v>1</v>
      </c>
      <c r="X12" s="491" t="s">
        <v>2457</v>
      </c>
      <c r="Y12" s="492">
        <v>56377</v>
      </c>
      <c r="Z12" s="492">
        <v>56570</v>
      </c>
      <c r="AA12" s="492">
        <v>21068</v>
      </c>
      <c r="AB12" s="492">
        <v>7295</v>
      </c>
      <c r="AC12" s="373">
        <v>61732</v>
      </c>
      <c r="AD12" s="492">
        <v>22852</v>
      </c>
      <c r="AE12" s="492">
        <v>457</v>
      </c>
      <c r="AF12" s="492">
        <v>660</v>
      </c>
      <c r="AG12" s="492">
        <v>2</v>
      </c>
      <c r="AH12" s="492">
        <v>1</v>
      </c>
      <c r="AI12" s="492">
        <v>0</v>
      </c>
      <c r="AJ12" s="492">
        <v>0</v>
      </c>
      <c r="AK12" s="492">
        <v>0</v>
      </c>
      <c r="AL12" s="492">
        <v>0</v>
      </c>
      <c r="AM12" s="492">
        <v>0</v>
      </c>
      <c r="AN12" s="493">
        <f t="shared" si="1"/>
        <v>112947</v>
      </c>
      <c r="AO12" s="494">
        <v>46067</v>
      </c>
      <c r="AP12" s="495">
        <v>46387</v>
      </c>
      <c r="AQ12" s="496" t="s">
        <v>2458</v>
      </c>
      <c r="AR12" s="8"/>
      <c r="AS12" s="8"/>
      <c r="AT12" s="8"/>
      <c r="AU12" s="8"/>
      <c r="AV12" s="8"/>
      <c r="AW12" s="8"/>
      <c r="AX12" s="8"/>
      <c r="AY12" s="8"/>
      <c r="AZ12" s="8"/>
      <c r="BA12" s="8"/>
      <c r="BB12" s="8"/>
      <c r="BC12" s="8"/>
      <c r="BD12" s="8"/>
      <c r="BE12" s="8"/>
      <c r="BF12" s="8"/>
      <c r="BG12" s="132"/>
      <c r="BH12" s="132"/>
      <c r="BI12" s="132"/>
      <c r="BJ12" s="132"/>
      <c r="BK12" s="132"/>
      <c r="BL12" s="132"/>
      <c r="BM12" s="132"/>
      <c r="BN12" s="132"/>
      <c r="BO12" s="132"/>
      <c r="BP12" s="132"/>
      <c r="BQ12" s="132"/>
      <c r="BR12" s="132"/>
      <c r="BS12" s="132"/>
      <c r="BT12" s="132"/>
      <c r="BU12" s="132"/>
      <c r="BV12" s="132"/>
      <c r="BW12" s="132"/>
      <c r="BX12" s="132"/>
      <c r="BY12" s="132"/>
      <c r="BZ12" s="132"/>
      <c r="CA12" s="132"/>
      <c r="CB12" s="132"/>
      <c r="CC12" s="132"/>
      <c r="CD12" s="132"/>
      <c r="CE12" s="132"/>
      <c r="CF12" s="132"/>
      <c r="CG12" s="132"/>
      <c r="CH12" s="132"/>
      <c r="CI12" s="132"/>
      <c r="CJ12" s="132"/>
      <c r="CK12" s="132"/>
      <c r="CL12" s="132"/>
      <c r="CM12" s="132"/>
      <c r="CN12" s="132"/>
      <c r="CO12" s="132"/>
      <c r="CP12" s="132"/>
      <c r="CQ12" s="132"/>
      <c r="CR12" s="132"/>
      <c r="CS12" s="132"/>
      <c r="CT12" s="132"/>
      <c r="CU12" s="132"/>
      <c r="CV12" s="132"/>
      <c r="CW12" s="132"/>
      <c r="CX12" s="132"/>
      <c r="CY12" s="132"/>
      <c r="CZ12" s="132"/>
      <c r="DA12" s="132"/>
      <c r="DB12" s="132"/>
      <c r="DC12" s="132"/>
      <c r="DD12" s="132"/>
      <c r="DE12" s="132"/>
      <c r="DF12" s="132"/>
      <c r="DG12" s="132"/>
      <c r="DH12" s="132"/>
      <c r="DI12" s="132"/>
      <c r="DJ12" s="132"/>
      <c r="DK12" s="132"/>
      <c r="DL12" s="132"/>
      <c r="DM12" s="132"/>
      <c r="DN12" s="132"/>
      <c r="DO12" s="132"/>
      <c r="DP12" s="132"/>
      <c r="DQ12" s="132"/>
      <c r="DR12" s="132"/>
      <c r="DS12" s="132"/>
      <c r="DT12" s="132"/>
      <c r="DU12" s="132"/>
      <c r="DV12" s="132"/>
      <c r="DW12" s="132"/>
      <c r="DX12" s="132"/>
      <c r="DY12" s="132"/>
      <c r="DZ12" s="132"/>
      <c r="EA12" s="132"/>
      <c r="EB12" s="132"/>
      <c r="EC12" s="132"/>
      <c r="ED12" s="132"/>
      <c r="EE12" s="132"/>
      <c r="EF12" s="132"/>
      <c r="EG12" s="132"/>
      <c r="EH12" s="132"/>
      <c r="EI12" s="132"/>
      <c r="EJ12" s="132"/>
      <c r="EK12" s="132"/>
      <c r="EL12" s="132"/>
      <c r="EM12" s="132"/>
      <c r="EN12" s="132"/>
      <c r="EO12" s="132"/>
      <c r="EP12" s="132"/>
      <c r="EQ12" s="132"/>
      <c r="ER12" s="132"/>
      <c r="ES12" s="132"/>
      <c r="ET12" s="132"/>
      <c r="EU12" s="132"/>
      <c r="EV12" s="132"/>
      <c r="EW12" s="132"/>
      <c r="EX12" s="132"/>
      <c r="EY12" s="132"/>
      <c r="EZ12" s="132"/>
      <c r="FA12" s="132"/>
      <c r="FB12" s="132"/>
      <c r="FC12" s="132"/>
      <c r="FD12" s="132"/>
      <c r="FE12" s="132"/>
      <c r="FF12" s="132"/>
      <c r="FG12" s="132"/>
      <c r="FH12" s="132"/>
      <c r="FI12" s="132"/>
      <c r="FJ12" s="132"/>
      <c r="FK12" s="132"/>
      <c r="FL12" s="132"/>
      <c r="FM12" s="132"/>
      <c r="FN12" s="132"/>
      <c r="FO12" s="132"/>
      <c r="FP12" s="132"/>
      <c r="FQ12" s="132"/>
      <c r="FR12" s="132"/>
      <c r="FS12" s="132"/>
      <c r="FT12" s="132"/>
      <c r="FU12" s="132"/>
      <c r="FV12" s="132"/>
      <c r="FW12" s="132"/>
      <c r="FX12" s="132"/>
      <c r="FY12" s="132"/>
      <c r="FZ12" s="132"/>
      <c r="GA12" s="132"/>
      <c r="GB12" s="132"/>
      <c r="GC12" s="132"/>
      <c r="GD12" s="132"/>
      <c r="GE12" s="132"/>
      <c r="GF12" s="132"/>
      <c r="GG12" s="132"/>
      <c r="GH12" s="132"/>
      <c r="GI12" s="132"/>
      <c r="GJ12" s="132"/>
      <c r="GK12" s="132"/>
      <c r="GL12" s="132"/>
      <c r="GM12" s="132"/>
      <c r="GN12" s="132"/>
      <c r="GO12" s="132"/>
      <c r="GP12" s="132"/>
      <c r="GQ12" s="132"/>
      <c r="GR12" s="132"/>
      <c r="GS12" s="132"/>
      <c r="GT12" s="132"/>
      <c r="GU12" s="132"/>
      <c r="GV12" s="132"/>
      <c r="GW12" s="132"/>
      <c r="GX12" s="132"/>
      <c r="GY12" s="132"/>
      <c r="GZ12" s="132"/>
      <c r="HA12" s="132"/>
      <c r="HB12" s="132"/>
      <c r="HC12" s="132"/>
      <c r="HD12" s="132"/>
      <c r="HE12" s="132"/>
      <c r="HF12" s="132"/>
      <c r="HG12" s="132"/>
      <c r="HH12" s="132"/>
      <c r="HI12" s="132"/>
      <c r="HJ12" s="132"/>
      <c r="HK12" s="132"/>
      <c r="HL12" s="132"/>
      <c r="HM12" s="132"/>
      <c r="HN12" s="132"/>
      <c r="HO12" s="132"/>
      <c r="HP12" s="132"/>
      <c r="HQ12" s="132"/>
      <c r="HR12" s="132"/>
      <c r="HS12" s="132"/>
      <c r="HT12" s="132"/>
      <c r="HU12" s="132"/>
      <c r="HV12" s="132"/>
      <c r="HW12" s="132"/>
      <c r="HX12" s="132"/>
      <c r="HY12" s="132"/>
      <c r="HZ12" s="132"/>
      <c r="IA12" s="132"/>
      <c r="IB12" s="132"/>
      <c r="IC12" s="132"/>
      <c r="ID12" s="132"/>
      <c r="IE12" s="132"/>
      <c r="IF12" s="132"/>
      <c r="IG12" s="132"/>
      <c r="IH12" s="132"/>
      <c r="II12" s="132"/>
      <c r="IJ12" s="132"/>
      <c r="IK12" s="132"/>
      <c r="IL12" s="132"/>
      <c r="IM12" s="132"/>
      <c r="IN12" s="132"/>
      <c r="IO12" s="132"/>
      <c r="IP12" s="132"/>
      <c r="IQ12" s="132"/>
      <c r="IR12" s="132"/>
      <c r="IS12" s="132"/>
      <c r="IT12" s="132"/>
      <c r="IU12" s="132"/>
      <c r="IV12" s="132"/>
      <c r="IW12" s="132"/>
      <c r="IX12" s="132"/>
      <c r="IY12" s="132"/>
      <c r="IZ12" s="132"/>
      <c r="JA12" s="132"/>
      <c r="JB12" s="132"/>
      <c r="JC12" s="132"/>
      <c r="JD12" s="132"/>
      <c r="JE12" s="132"/>
      <c r="JF12" s="132"/>
      <c r="JG12" s="132"/>
      <c r="JH12" s="132"/>
      <c r="JI12" s="132"/>
      <c r="JJ12" s="132"/>
      <c r="JK12" s="132"/>
      <c r="JL12" s="132"/>
      <c r="JM12" s="132"/>
      <c r="JN12" s="132"/>
      <c r="JO12" s="132"/>
      <c r="JP12" s="132"/>
      <c r="JQ12" s="132"/>
      <c r="JR12" s="132"/>
      <c r="JS12" s="132"/>
      <c r="JT12" s="132"/>
      <c r="JU12" s="132"/>
      <c r="JV12" s="132"/>
      <c r="JW12" s="132"/>
      <c r="JX12" s="132"/>
      <c r="JY12" s="132"/>
      <c r="JZ12" s="132"/>
      <c r="KA12" s="132"/>
      <c r="KB12" s="132"/>
      <c r="KC12" s="132"/>
      <c r="KD12" s="132"/>
      <c r="KE12" s="132"/>
      <c r="KF12" s="132"/>
      <c r="KG12" s="132"/>
      <c r="KH12" s="132"/>
      <c r="KI12" s="132"/>
      <c r="KJ12" s="132"/>
      <c r="KK12" s="132"/>
      <c r="KL12" s="132"/>
      <c r="KM12" s="132"/>
      <c r="KN12" s="132"/>
      <c r="KO12" s="132"/>
      <c r="KP12" s="132"/>
      <c r="KQ12" s="132"/>
      <c r="KR12" s="132"/>
      <c r="KS12" s="132"/>
      <c r="KT12" s="132"/>
      <c r="KU12" s="132"/>
      <c r="KV12" s="132"/>
      <c r="KW12" s="132"/>
      <c r="KX12" s="132"/>
      <c r="KY12" s="132"/>
      <c r="KZ12" s="132"/>
      <c r="LA12" s="132"/>
      <c r="LB12" s="132"/>
      <c r="LC12" s="132"/>
      <c r="LD12" s="132"/>
      <c r="LE12" s="132"/>
      <c r="LF12" s="132"/>
      <c r="LG12" s="132"/>
      <c r="LH12" s="132"/>
      <c r="LI12" s="132"/>
      <c r="LJ12" s="132"/>
      <c r="LK12" s="132"/>
      <c r="LL12" s="132"/>
      <c r="LM12" s="132"/>
      <c r="LN12" s="132"/>
      <c r="LO12" s="132"/>
      <c r="LP12" s="132"/>
      <c r="LQ12" s="132"/>
      <c r="LR12" s="132"/>
      <c r="LS12" s="132"/>
      <c r="LT12" s="132"/>
      <c r="LU12" s="132"/>
      <c r="LV12" s="132"/>
      <c r="LW12" s="132"/>
      <c r="LX12" s="132"/>
      <c r="LY12" s="132"/>
      <c r="LZ12" s="132"/>
      <c r="MA12" s="132"/>
      <c r="MB12" s="132"/>
      <c r="MC12" s="132"/>
      <c r="MD12" s="132"/>
      <c r="ME12" s="132"/>
      <c r="MF12" s="132"/>
      <c r="MG12" s="132"/>
      <c r="MH12" s="132"/>
      <c r="MI12" s="132"/>
      <c r="MJ12" s="132"/>
      <c r="MK12" s="132"/>
      <c r="ML12" s="132"/>
      <c r="MM12" s="132"/>
      <c r="MN12" s="132"/>
      <c r="MO12" s="132"/>
      <c r="MP12" s="132"/>
      <c r="MQ12" s="132"/>
      <c r="MR12" s="132"/>
      <c r="MS12" s="132"/>
      <c r="MT12" s="132"/>
      <c r="MU12" s="132"/>
      <c r="MV12" s="132"/>
      <c r="MW12" s="132"/>
      <c r="MX12" s="132"/>
      <c r="MY12" s="132"/>
      <c r="MZ12" s="132"/>
      <c r="NA12" s="132"/>
      <c r="NB12" s="132"/>
      <c r="NC12" s="132"/>
      <c r="ND12" s="132"/>
      <c r="NE12" s="132"/>
      <c r="NF12" s="132"/>
      <c r="NG12" s="132"/>
      <c r="NH12" s="132"/>
      <c r="NI12" s="132"/>
      <c r="NJ12" s="132"/>
      <c r="NK12" s="132"/>
      <c r="NL12" s="132"/>
      <c r="NM12" s="132"/>
      <c r="NN12" s="132"/>
      <c r="NO12" s="132"/>
      <c r="NP12" s="132"/>
      <c r="NQ12" s="132"/>
      <c r="NR12" s="132"/>
      <c r="NS12" s="132"/>
      <c r="NT12" s="132"/>
      <c r="NU12" s="132"/>
      <c r="NV12" s="132"/>
      <c r="NW12" s="132"/>
      <c r="NX12" s="132"/>
      <c r="NY12" s="132"/>
      <c r="NZ12" s="132"/>
      <c r="OA12" s="132"/>
      <c r="OB12" s="132"/>
      <c r="OC12" s="132"/>
      <c r="OD12" s="132"/>
      <c r="OE12" s="132"/>
      <c r="OF12" s="132"/>
      <c r="OG12" s="132"/>
      <c r="OH12" s="132"/>
      <c r="OI12" s="132"/>
      <c r="OJ12" s="132"/>
      <c r="OK12" s="132"/>
      <c r="OL12" s="132"/>
      <c r="OM12" s="132"/>
      <c r="ON12" s="132"/>
      <c r="OO12" s="132"/>
      <c r="OP12" s="132"/>
      <c r="OQ12" s="132"/>
      <c r="OR12" s="132"/>
      <c r="OS12" s="132"/>
      <c r="OT12" s="132"/>
      <c r="OU12" s="132"/>
      <c r="OV12" s="132"/>
      <c r="OW12" s="132"/>
      <c r="OX12" s="132"/>
      <c r="OY12" s="132"/>
      <c r="OZ12" s="132"/>
      <c r="PA12" s="132"/>
      <c r="PB12" s="132"/>
      <c r="PC12" s="132"/>
      <c r="PD12" s="132"/>
      <c r="PE12" s="132"/>
      <c r="PF12" s="132"/>
      <c r="PG12" s="132"/>
      <c r="PH12" s="132"/>
      <c r="PI12" s="132"/>
      <c r="PJ12" s="132"/>
      <c r="PK12" s="132"/>
      <c r="PL12" s="132"/>
      <c r="PM12" s="132"/>
      <c r="PN12" s="132"/>
      <c r="PO12" s="132"/>
      <c r="PP12" s="132"/>
      <c r="PQ12" s="132"/>
      <c r="PR12" s="132"/>
      <c r="PS12" s="132"/>
      <c r="PT12" s="132"/>
      <c r="PU12" s="132"/>
      <c r="PV12" s="132"/>
      <c r="PW12" s="132"/>
      <c r="PX12" s="132"/>
      <c r="PY12" s="132"/>
      <c r="PZ12" s="132"/>
      <c r="QA12" s="132"/>
      <c r="QB12" s="132"/>
      <c r="QC12" s="132"/>
      <c r="QD12" s="132"/>
      <c r="QE12" s="132"/>
      <c r="QF12" s="132"/>
      <c r="QG12" s="132"/>
      <c r="QH12" s="132"/>
      <c r="QI12" s="132"/>
      <c r="QJ12" s="132"/>
      <c r="QK12" s="132"/>
      <c r="QL12" s="132"/>
      <c r="QM12" s="132"/>
      <c r="QN12" s="132"/>
      <c r="QO12" s="132"/>
      <c r="QP12" s="132"/>
      <c r="QQ12" s="132"/>
      <c r="QR12" s="132"/>
      <c r="QS12" s="132"/>
      <c r="QT12" s="132"/>
      <c r="QU12" s="132"/>
      <c r="QV12" s="132"/>
      <c r="QW12" s="132"/>
      <c r="QX12" s="132"/>
      <c r="QY12" s="132"/>
      <c r="QZ12" s="132"/>
      <c r="RA12" s="132"/>
      <c r="RB12" s="132"/>
      <c r="RC12" s="132"/>
      <c r="RD12" s="132"/>
      <c r="RE12" s="132"/>
      <c r="RF12" s="132"/>
      <c r="RG12" s="132"/>
      <c r="RH12" s="132"/>
      <c r="RI12" s="132"/>
      <c r="RJ12" s="132"/>
      <c r="RK12" s="132"/>
      <c r="RL12" s="132"/>
      <c r="RM12" s="132"/>
      <c r="RN12" s="132"/>
      <c r="RO12" s="132"/>
      <c r="RP12" s="132"/>
      <c r="RQ12" s="132"/>
      <c r="RR12" s="132"/>
      <c r="RS12" s="132"/>
      <c r="RT12" s="132"/>
      <c r="RU12" s="132"/>
      <c r="RV12" s="132"/>
      <c r="RW12" s="132"/>
      <c r="RX12" s="132"/>
      <c r="RY12" s="132"/>
      <c r="RZ12" s="132"/>
      <c r="SA12" s="132"/>
      <c r="SB12" s="132"/>
      <c r="SC12" s="132"/>
      <c r="SD12" s="132"/>
      <c r="SE12" s="132"/>
      <c r="SF12" s="132"/>
      <c r="SG12" s="132"/>
      <c r="SH12" s="132"/>
      <c r="SI12" s="132"/>
      <c r="SJ12" s="132"/>
      <c r="SK12" s="132"/>
      <c r="SL12" s="132"/>
      <c r="SM12" s="132"/>
      <c r="SN12" s="132"/>
      <c r="SO12" s="132"/>
      <c r="SP12" s="132"/>
      <c r="SQ12" s="132"/>
      <c r="SR12" s="132"/>
      <c r="SS12" s="132"/>
      <c r="ST12" s="132"/>
      <c r="SU12" s="132"/>
      <c r="SV12" s="132"/>
      <c r="SW12" s="132"/>
      <c r="SX12" s="132"/>
      <c r="SY12" s="132"/>
      <c r="SZ12" s="132"/>
      <c r="TA12" s="132"/>
      <c r="TB12" s="132"/>
      <c r="TC12" s="132"/>
      <c r="TD12" s="132"/>
      <c r="TE12" s="132"/>
      <c r="TF12" s="132"/>
      <c r="TG12" s="132"/>
      <c r="TH12" s="132"/>
      <c r="TI12" s="132"/>
      <c r="TJ12" s="132"/>
      <c r="TK12" s="132"/>
      <c r="TL12" s="132"/>
      <c r="TM12" s="132"/>
      <c r="TN12" s="132"/>
      <c r="TO12" s="132"/>
      <c r="TP12" s="132"/>
      <c r="TQ12" s="132"/>
      <c r="TR12" s="132"/>
      <c r="TS12" s="132"/>
      <c r="TT12" s="132"/>
      <c r="TU12" s="132"/>
      <c r="TV12" s="132"/>
      <c r="TW12" s="132"/>
      <c r="TX12" s="132"/>
      <c r="TY12" s="132"/>
      <c r="TZ12" s="132"/>
      <c r="UA12" s="132"/>
      <c r="UB12" s="132"/>
      <c r="UC12" s="132"/>
      <c r="UD12" s="132"/>
      <c r="UE12" s="132"/>
      <c r="UF12" s="132"/>
      <c r="UG12" s="132"/>
      <c r="UH12" s="132"/>
      <c r="UI12" s="132"/>
      <c r="UJ12" s="132"/>
      <c r="UK12" s="132"/>
      <c r="UL12" s="132"/>
      <c r="UM12" s="132"/>
      <c r="UN12" s="132"/>
      <c r="UO12" s="132"/>
      <c r="UP12" s="132"/>
      <c r="UQ12" s="132"/>
      <c r="UR12" s="132"/>
      <c r="US12" s="132"/>
      <c r="UT12" s="132"/>
      <c r="UU12" s="132"/>
      <c r="UV12" s="132"/>
      <c r="UW12" s="132"/>
      <c r="UX12" s="132"/>
      <c r="UY12" s="132"/>
      <c r="UZ12" s="132"/>
      <c r="VA12" s="132"/>
      <c r="VB12" s="132"/>
      <c r="VC12" s="132"/>
      <c r="VD12" s="132"/>
      <c r="VE12" s="132"/>
      <c r="VF12" s="132"/>
      <c r="VG12" s="132"/>
      <c r="VH12" s="132"/>
      <c r="VI12" s="132"/>
      <c r="VJ12" s="132"/>
      <c r="VK12" s="132"/>
      <c r="VL12" s="132"/>
      <c r="VM12" s="132"/>
      <c r="VN12" s="132"/>
      <c r="VO12" s="132"/>
      <c r="VP12" s="132"/>
      <c r="VQ12" s="132"/>
      <c r="VR12" s="132"/>
      <c r="VS12" s="132"/>
      <c r="VT12" s="132"/>
      <c r="VU12" s="132"/>
      <c r="VV12" s="132"/>
      <c r="VW12" s="132"/>
      <c r="VX12" s="132"/>
      <c r="VY12" s="132"/>
      <c r="VZ12" s="132"/>
      <c r="WA12" s="132"/>
      <c r="WB12" s="132"/>
      <c r="WC12" s="132"/>
      <c r="WD12" s="132"/>
      <c r="WE12" s="132"/>
      <c r="WF12" s="132"/>
      <c r="WG12" s="132"/>
      <c r="WH12" s="132"/>
      <c r="WI12" s="132"/>
      <c r="WJ12" s="132"/>
      <c r="WK12" s="132"/>
      <c r="WL12" s="132"/>
      <c r="WM12" s="132"/>
      <c r="WN12" s="132"/>
      <c r="WO12" s="132"/>
    </row>
    <row r="13" spans="1:613" s="497" customFormat="1" ht="55.5" customHeight="1" thickBot="1">
      <c r="A13" s="358">
        <v>3</v>
      </c>
      <c r="B13" s="386" t="s">
        <v>2449</v>
      </c>
      <c r="C13" s="358">
        <v>24</v>
      </c>
      <c r="D13" s="386" t="s">
        <v>2450</v>
      </c>
      <c r="E13" s="358">
        <v>2409</v>
      </c>
      <c r="F13" s="487" t="s">
        <v>2451</v>
      </c>
      <c r="G13" s="395" t="s">
        <v>2466</v>
      </c>
      <c r="H13" s="346" t="s">
        <v>2467</v>
      </c>
      <c r="I13" s="395">
        <v>240903900</v>
      </c>
      <c r="J13" s="346" t="s">
        <v>2467</v>
      </c>
      <c r="K13" s="395">
        <v>7</v>
      </c>
      <c r="L13" s="395"/>
      <c r="M13" s="395">
        <v>7</v>
      </c>
      <c r="N13" s="489">
        <v>2024003630018</v>
      </c>
      <c r="O13" s="386" t="s">
        <v>2454</v>
      </c>
      <c r="P13" s="393" t="s">
        <v>2471</v>
      </c>
      <c r="Q13" s="130">
        <v>10000000</v>
      </c>
      <c r="R13" s="129"/>
      <c r="S13" s="130"/>
      <c r="T13" s="130"/>
      <c r="U13" s="130">
        <v>10000000</v>
      </c>
      <c r="V13" s="490" t="s">
        <v>2472</v>
      </c>
      <c r="W13" s="490">
        <v>1</v>
      </c>
      <c r="X13" s="491" t="s">
        <v>2457</v>
      </c>
      <c r="Y13" s="492">
        <v>56377</v>
      </c>
      <c r="Z13" s="492">
        <v>56570</v>
      </c>
      <c r="AA13" s="492">
        <v>21068</v>
      </c>
      <c r="AB13" s="492">
        <v>7295</v>
      </c>
      <c r="AC13" s="373">
        <v>61732</v>
      </c>
      <c r="AD13" s="492">
        <v>22852</v>
      </c>
      <c r="AE13" s="492">
        <v>457</v>
      </c>
      <c r="AF13" s="492">
        <v>660</v>
      </c>
      <c r="AG13" s="492">
        <v>2</v>
      </c>
      <c r="AH13" s="492">
        <v>1</v>
      </c>
      <c r="AI13" s="492">
        <v>0</v>
      </c>
      <c r="AJ13" s="492">
        <v>0</v>
      </c>
      <c r="AK13" s="492">
        <v>0</v>
      </c>
      <c r="AL13" s="492">
        <v>0</v>
      </c>
      <c r="AM13" s="492">
        <v>0</v>
      </c>
      <c r="AN13" s="493">
        <f t="shared" si="1"/>
        <v>112947</v>
      </c>
      <c r="AO13" s="494">
        <v>46067</v>
      </c>
      <c r="AP13" s="495">
        <v>46387</v>
      </c>
      <c r="AQ13" s="496" t="s">
        <v>2458</v>
      </c>
      <c r="AR13" s="8"/>
      <c r="AS13" s="8"/>
      <c r="AT13" s="8"/>
      <c r="AU13" s="8"/>
      <c r="AV13" s="8"/>
      <c r="AW13" s="8"/>
      <c r="AX13" s="8"/>
      <c r="AY13" s="8"/>
      <c r="AZ13" s="8"/>
      <c r="BA13" s="8"/>
      <c r="BB13" s="8"/>
      <c r="BC13" s="8"/>
      <c r="BD13" s="8"/>
      <c r="BE13" s="8"/>
      <c r="BF13" s="8"/>
      <c r="BG13" s="132"/>
      <c r="BH13" s="132"/>
      <c r="BI13" s="132"/>
      <c r="BJ13" s="132"/>
      <c r="BK13" s="132"/>
      <c r="BL13" s="132"/>
      <c r="BM13" s="132"/>
      <c r="BN13" s="132"/>
      <c r="BO13" s="132"/>
      <c r="BP13" s="132"/>
      <c r="BQ13" s="132"/>
      <c r="BR13" s="132"/>
      <c r="BS13" s="132"/>
      <c r="BT13" s="132"/>
      <c r="BU13" s="132"/>
      <c r="BV13" s="132"/>
      <c r="BW13" s="132"/>
      <c r="BX13" s="132"/>
      <c r="BY13" s="132"/>
      <c r="BZ13" s="132"/>
      <c r="CA13" s="132"/>
      <c r="CB13" s="132"/>
      <c r="CC13" s="132"/>
      <c r="CD13" s="132"/>
      <c r="CE13" s="132"/>
      <c r="CF13" s="132"/>
      <c r="CG13" s="132"/>
      <c r="CH13" s="132"/>
      <c r="CI13" s="132"/>
      <c r="CJ13" s="132"/>
      <c r="CK13" s="132"/>
      <c r="CL13" s="132"/>
      <c r="CM13" s="132"/>
      <c r="CN13" s="132"/>
      <c r="CO13" s="132"/>
      <c r="CP13" s="132"/>
      <c r="CQ13" s="132"/>
      <c r="CR13" s="132"/>
      <c r="CS13" s="132"/>
      <c r="CT13" s="132"/>
      <c r="CU13" s="132"/>
      <c r="CV13" s="132"/>
      <c r="CW13" s="132"/>
      <c r="CX13" s="132"/>
      <c r="CY13" s="132"/>
      <c r="CZ13" s="132"/>
      <c r="DA13" s="132"/>
      <c r="DB13" s="132"/>
      <c r="DC13" s="132"/>
      <c r="DD13" s="132"/>
      <c r="DE13" s="132"/>
      <c r="DF13" s="132"/>
      <c r="DG13" s="132"/>
      <c r="DH13" s="132"/>
      <c r="DI13" s="132"/>
      <c r="DJ13" s="132"/>
      <c r="DK13" s="132"/>
      <c r="DL13" s="132"/>
      <c r="DM13" s="132"/>
      <c r="DN13" s="132"/>
      <c r="DO13" s="132"/>
      <c r="DP13" s="132"/>
      <c r="DQ13" s="132"/>
      <c r="DR13" s="132"/>
      <c r="DS13" s="132"/>
      <c r="DT13" s="132"/>
      <c r="DU13" s="132"/>
      <c r="DV13" s="132"/>
      <c r="DW13" s="132"/>
      <c r="DX13" s="132"/>
      <c r="DY13" s="132"/>
      <c r="DZ13" s="132"/>
      <c r="EA13" s="132"/>
      <c r="EB13" s="132"/>
      <c r="EC13" s="132"/>
      <c r="ED13" s="132"/>
      <c r="EE13" s="132"/>
      <c r="EF13" s="132"/>
      <c r="EG13" s="132"/>
      <c r="EH13" s="132"/>
      <c r="EI13" s="132"/>
      <c r="EJ13" s="132"/>
      <c r="EK13" s="132"/>
      <c r="EL13" s="132"/>
      <c r="EM13" s="132"/>
      <c r="EN13" s="132"/>
      <c r="EO13" s="132"/>
      <c r="EP13" s="132"/>
      <c r="EQ13" s="132"/>
      <c r="ER13" s="132"/>
      <c r="ES13" s="132"/>
      <c r="ET13" s="132"/>
      <c r="EU13" s="132"/>
      <c r="EV13" s="132"/>
      <c r="EW13" s="132"/>
      <c r="EX13" s="132"/>
      <c r="EY13" s="132"/>
      <c r="EZ13" s="132"/>
      <c r="FA13" s="132"/>
      <c r="FB13" s="132"/>
      <c r="FC13" s="132"/>
      <c r="FD13" s="132"/>
      <c r="FE13" s="132"/>
      <c r="FF13" s="132"/>
      <c r="FG13" s="132"/>
      <c r="FH13" s="132"/>
      <c r="FI13" s="132"/>
      <c r="FJ13" s="132"/>
      <c r="FK13" s="132"/>
      <c r="FL13" s="132"/>
      <c r="FM13" s="132"/>
      <c r="FN13" s="132"/>
      <c r="FO13" s="132"/>
      <c r="FP13" s="132"/>
      <c r="FQ13" s="132"/>
      <c r="FR13" s="132"/>
      <c r="FS13" s="132"/>
      <c r="FT13" s="132"/>
      <c r="FU13" s="132"/>
      <c r="FV13" s="132"/>
      <c r="FW13" s="132"/>
      <c r="FX13" s="132"/>
      <c r="FY13" s="132"/>
      <c r="FZ13" s="132"/>
      <c r="GA13" s="132"/>
      <c r="GB13" s="132"/>
      <c r="GC13" s="132"/>
      <c r="GD13" s="132"/>
      <c r="GE13" s="132"/>
      <c r="GF13" s="132"/>
      <c r="GG13" s="132"/>
      <c r="GH13" s="132"/>
      <c r="GI13" s="132"/>
      <c r="GJ13" s="132"/>
      <c r="GK13" s="132"/>
      <c r="GL13" s="132"/>
      <c r="GM13" s="132"/>
      <c r="GN13" s="132"/>
      <c r="GO13" s="132"/>
      <c r="GP13" s="132"/>
      <c r="GQ13" s="132"/>
      <c r="GR13" s="132"/>
      <c r="GS13" s="132"/>
      <c r="GT13" s="132"/>
      <c r="GU13" s="132"/>
      <c r="GV13" s="132"/>
      <c r="GW13" s="132"/>
      <c r="GX13" s="132"/>
      <c r="GY13" s="132"/>
      <c r="GZ13" s="132"/>
      <c r="HA13" s="132"/>
      <c r="HB13" s="132"/>
      <c r="HC13" s="132"/>
      <c r="HD13" s="132"/>
      <c r="HE13" s="132"/>
      <c r="HF13" s="132"/>
      <c r="HG13" s="132"/>
      <c r="HH13" s="132"/>
      <c r="HI13" s="132"/>
      <c r="HJ13" s="132"/>
      <c r="HK13" s="132"/>
      <c r="HL13" s="132"/>
      <c r="HM13" s="132"/>
      <c r="HN13" s="132"/>
      <c r="HO13" s="132"/>
      <c r="HP13" s="132"/>
      <c r="HQ13" s="132"/>
      <c r="HR13" s="132"/>
      <c r="HS13" s="132"/>
      <c r="HT13" s="132"/>
      <c r="HU13" s="132"/>
      <c r="HV13" s="132"/>
      <c r="HW13" s="132"/>
      <c r="HX13" s="132"/>
      <c r="HY13" s="132"/>
      <c r="HZ13" s="132"/>
      <c r="IA13" s="132"/>
      <c r="IB13" s="132"/>
      <c r="IC13" s="132"/>
      <c r="ID13" s="132"/>
      <c r="IE13" s="132"/>
      <c r="IF13" s="132"/>
      <c r="IG13" s="132"/>
      <c r="IH13" s="132"/>
      <c r="II13" s="132"/>
      <c r="IJ13" s="132"/>
      <c r="IK13" s="132"/>
      <c r="IL13" s="132"/>
      <c r="IM13" s="132"/>
      <c r="IN13" s="132"/>
      <c r="IO13" s="132"/>
      <c r="IP13" s="132"/>
      <c r="IQ13" s="132"/>
      <c r="IR13" s="132"/>
      <c r="IS13" s="132"/>
      <c r="IT13" s="132"/>
      <c r="IU13" s="132"/>
      <c r="IV13" s="132"/>
      <c r="IW13" s="132"/>
      <c r="IX13" s="132"/>
      <c r="IY13" s="132"/>
      <c r="IZ13" s="132"/>
      <c r="JA13" s="132"/>
      <c r="JB13" s="132"/>
      <c r="JC13" s="132"/>
      <c r="JD13" s="132"/>
      <c r="JE13" s="132"/>
      <c r="JF13" s="132"/>
      <c r="JG13" s="132"/>
      <c r="JH13" s="132"/>
      <c r="JI13" s="132"/>
      <c r="JJ13" s="132"/>
      <c r="JK13" s="132"/>
      <c r="JL13" s="132"/>
      <c r="JM13" s="132"/>
      <c r="JN13" s="132"/>
      <c r="JO13" s="132"/>
      <c r="JP13" s="132"/>
      <c r="JQ13" s="132"/>
      <c r="JR13" s="132"/>
      <c r="JS13" s="132"/>
      <c r="JT13" s="132"/>
      <c r="JU13" s="132"/>
      <c r="JV13" s="132"/>
      <c r="JW13" s="132"/>
      <c r="JX13" s="132"/>
      <c r="JY13" s="132"/>
      <c r="JZ13" s="132"/>
      <c r="KA13" s="132"/>
      <c r="KB13" s="132"/>
      <c r="KC13" s="132"/>
      <c r="KD13" s="132"/>
      <c r="KE13" s="132"/>
      <c r="KF13" s="132"/>
      <c r="KG13" s="132"/>
      <c r="KH13" s="132"/>
      <c r="KI13" s="132"/>
      <c r="KJ13" s="132"/>
      <c r="KK13" s="132"/>
      <c r="KL13" s="132"/>
      <c r="KM13" s="132"/>
      <c r="KN13" s="132"/>
      <c r="KO13" s="132"/>
      <c r="KP13" s="132"/>
      <c r="KQ13" s="132"/>
      <c r="KR13" s="132"/>
      <c r="KS13" s="132"/>
      <c r="KT13" s="132"/>
      <c r="KU13" s="132"/>
      <c r="KV13" s="132"/>
      <c r="KW13" s="132"/>
      <c r="KX13" s="132"/>
      <c r="KY13" s="132"/>
      <c r="KZ13" s="132"/>
      <c r="LA13" s="132"/>
      <c r="LB13" s="132"/>
      <c r="LC13" s="132"/>
      <c r="LD13" s="132"/>
      <c r="LE13" s="132"/>
      <c r="LF13" s="132"/>
      <c r="LG13" s="132"/>
      <c r="LH13" s="132"/>
      <c r="LI13" s="132"/>
      <c r="LJ13" s="132"/>
      <c r="LK13" s="132"/>
      <c r="LL13" s="132"/>
      <c r="LM13" s="132"/>
      <c r="LN13" s="132"/>
      <c r="LO13" s="132"/>
      <c r="LP13" s="132"/>
      <c r="LQ13" s="132"/>
      <c r="LR13" s="132"/>
      <c r="LS13" s="132"/>
      <c r="LT13" s="132"/>
      <c r="LU13" s="132"/>
      <c r="LV13" s="132"/>
      <c r="LW13" s="132"/>
      <c r="LX13" s="132"/>
      <c r="LY13" s="132"/>
      <c r="LZ13" s="132"/>
      <c r="MA13" s="132"/>
      <c r="MB13" s="132"/>
      <c r="MC13" s="132"/>
      <c r="MD13" s="132"/>
      <c r="ME13" s="132"/>
      <c r="MF13" s="132"/>
      <c r="MG13" s="132"/>
      <c r="MH13" s="132"/>
      <c r="MI13" s="132"/>
      <c r="MJ13" s="132"/>
      <c r="MK13" s="132"/>
      <c r="ML13" s="132"/>
      <c r="MM13" s="132"/>
      <c r="MN13" s="132"/>
      <c r="MO13" s="132"/>
      <c r="MP13" s="132"/>
      <c r="MQ13" s="132"/>
      <c r="MR13" s="132"/>
      <c r="MS13" s="132"/>
      <c r="MT13" s="132"/>
      <c r="MU13" s="132"/>
      <c r="MV13" s="132"/>
      <c r="MW13" s="132"/>
      <c r="MX13" s="132"/>
      <c r="MY13" s="132"/>
      <c r="MZ13" s="132"/>
      <c r="NA13" s="132"/>
      <c r="NB13" s="132"/>
      <c r="NC13" s="132"/>
      <c r="ND13" s="132"/>
      <c r="NE13" s="132"/>
      <c r="NF13" s="132"/>
      <c r="NG13" s="132"/>
      <c r="NH13" s="132"/>
      <c r="NI13" s="132"/>
      <c r="NJ13" s="132"/>
      <c r="NK13" s="132"/>
      <c r="NL13" s="132"/>
      <c r="NM13" s="132"/>
      <c r="NN13" s="132"/>
      <c r="NO13" s="132"/>
      <c r="NP13" s="132"/>
      <c r="NQ13" s="132"/>
      <c r="NR13" s="132"/>
      <c r="NS13" s="132"/>
      <c r="NT13" s="132"/>
      <c r="NU13" s="132"/>
      <c r="NV13" s="132"/>
      <c r="NW13" s="132"/>
      <c r="NX13" s="132"/>
      <c r="NY13" s="132"/>
      <c r="NZ13" s="132"/>
      <c r="OA13" s="132"/>
      <c r="OB13" s="132"/>
      <c r="OC13" s="132"/>
      <c r="OD13" s="132"/>
      <c r="OE13" s="132"/>
      <c r="OF13" s="132"/>
      <c r="OG13" s="132"/>
      <c r="OH13" s="132"/>
      <c r="OI13" s="132"/>
      <c r="OJ13" s="132"/>
      <c r="OK13" s="132"/>
      <c r="OL13" s="132"/>
      <c r="OM13" s="132"/>
      <c r="ON13" s="132"/>
      <c r="OO13" s="132"/>
      <c r="OP13" s="132"/>
      <c r="OQ13" s="132"/>
      <c r="OR13" s="132"/>
      <c r="OS13" s="132"/>
      <c r="OT13" s="132"/>
      <c r="OU13" s="132"/>
      <c r="OV13" s="132"/>
      <c r="OW13" s="132"/>
      <c r="OX13" s="132"/>
      <c r="OY13" s="132"/>
      <c r="OZ13" s="132"/>
      <c r="PA13" s="132"/>
      <c r="PB13" s="132"/>
      <c r="PC13" s="132"/>
      <c r="PD13" s="132"/>
      <c r="PE13" s="132"/>
      <c r="PF13" s="132"/>
      <c r="PG13" s="132"/>
      <c r="PH13" s="132"/>
      <c r="PI13" s="132"/>
      <c r="PJ13" s="132"/>
      <c r="PK13" s="132"/>
      <c r="PL13" s="132"/>
      <c r="PM13" s="132"/>
      <c r="PN13" s="132"/>
      <c r="PO13" s="132"/>
      <c r="PP13" s="132"/>
      <c r="PQ13" s="132"/>
      <c r="PR13" s="132"/>
      <c r="PS13" s="132"/>
      <c r="PT13" s="132"/>
      <c r="PU13" s="132"/>
      <c r="PV13" s="132"/>
      <c r="PW13" s="132"/>
      <c r="PX13" s="132"/>
      <c r="PY13" s="132"/>
      <c r="PZ13" s="132"/>
      <c r="QA13" s="132"/>
      <c r="QB13" s="132"/>
      <c r="QC13" s="132"/>
      <c r="QD13" s="132"/>
      <c r="QE13" s="132"/>
      <c r="QF13" s="132"/>
      <c r="QG13" s="132"/>
      <c r="QH13" s="132"/>
      <c r="QI13" s="132"/>
      <c r="QJ13" s="132"/>
      <c r="QK13" s="132"/>
      <c r="QL13" s="132"/>
      <c r="QM13" s="132"/>
      <c r="QN13" s="132"/>
      <c r="QO13" s="132"/>
      <c r="QP13" s="132"/>
      <c r="QQ13" s="132"/>
      <c r="QR13" s="132"/>
      <c r="QS13" s="132"/>
      <c r="QT13" s="132"/>
      <c r="QU13" s="132"/>
      <c r="QV13" s="132"/>
      <c r="QW13" s="132"/>
      <c r="QX13" s="132"/>
      <c r="QY13" s="132"/>
      <c r="QZ13" s="132"/>
      <c r="RA13" s="132"/>
      <c r="RB13" s="132"/>
      <c r="RC13" s="132"/>
      <c r="RD13" s="132"/>
      <c r="RE13" s="132"/>
      <c r="RF13" s="132"/>
      <c r="RG13" s="132"/>
      <c r="RH13" s="132"/>
      <c r="RI13" s="132"/>
      <c r="RJ13" s="132"/>
      <c r="RK13" s="132"/>
      <c r="RL13" s="132"/>
      <c r="RM13" s="132"/>
      <c r="RN13" s="132"/>
      <c r="RO13" s="132"/>
      <c r="RP13" s="132"/>
      <c r="RQ13" s="132"/>
      <c r="RR13" s="132"/>
      <c r="RS13" s="132"/>
      <c r="RT13" s="132"/>
      <c r="RU13" s="132"/>
      <c r="RV13" s="132"/>
      <c r="RW13" s="132"/>
      <c r="RX13" s="132"/>
      <c r="RY13" s="132"/>
      <c r="RZ13" s="132"/>
      <c r="SA13" s="132"/>
      <c r="SB13" s="132"/>
      <c r="SC13" s="132"/>
      <c r="SD13" s="132"/>
      <c r="SE13" s="132"/>
      <c r="SF13" s="132"/>
      <c r="SG13" s="132"/>
      <c r="SH13" s="132"/>
      <c r="SI13" s="132"/>
      <c r="SJ13" s="132"/>
      <c r="SK13" s="132"/>
      <c r="SL13" s="132"/>
      <c r="SM13" s="132"/>
      <c r="SN13" s="132"/>
      <c r="SO13" s="132"/>
      <c r="SP13" s="132"/>
      <c r="SQ13" s="132"/>
      <c r="SR13" s="132"/>
      <c r="SS13" s="132"/>
      <c r="ST13" s="132"/>
      <c r="SU13" s="132"/>
      <c r="SV13" s="132"/>
      <c r="SW13" s="132"/>
      <c r="SX13" s="132"/>
      <c r="SY13" s="132"/>
      <c r="SZ13" s="132"/>
      <c r="TA13" s="132"/>
      <c r="TB13" s="132"/>
      <c r="TC13" s="132"/>
      <c r="TD13" s="132"/>
      <c r="TE13" s="132"/>
      <c r="TF13" s="132"/>
      <c r="TG13" s="132"/>
      <c r="TH13" s="132"/>
      <c r="TI13" s="132"/>
      <c r="TJ13" s="132"/>
      <c r="TK13" s="132"/>
      <c r="TL13" s="132"/>
      <c r="TM13" s="132"/>
      <c r="TN13" s="132"/>
      <c r="TO13" s="132"/>
      <c r="TP13" s="132"/>
      <c r="TQ13" s="132"/>
      <c r="TR13" s="132"/>
      <c r="TS13" s="132"/>
      <c r="TT13" s="132"/>
      <c r="TU13" s="132"/>
      <c r="TV13" s="132"/>
      <c r="TW13" s="132"/>
      <c r="TX13" s="132"/>
      <c r="TY13" s="132"/>
      <c r="TZ13" s="132"/>
      <c r="UA13" s="132"/>
      <c r="UB13" s="132"/>
      <c r="UC13" s="132"/>
      <c r="UD13" s="132"/>
      <c r="UE13" s="132"/>
      <c r="UF13" s="132"/>
      <c r="UG13" s="132"/>
      <c r="UH13" s="132"/>
      <c r="UI13" s="132"/>
      <c r="UJ13" s="132"/>
      <c r="UK13" s="132"/>
      <c r="UL13" s="132"/>
      <c r="UM13" s="132"/>
      <c r="UN13" s="132"/>
      <c r="UO13" s="132"/>
      <c r="UP13" s="132"/>
      <c r="UQ13" s="132"/>
      <c r="UR13" s="132"/>
      <c r="US13" s="132"/>
      <c r="UT13" s="132"/>
      <c r="UU13" s="132"/>
      <c r="UV13" s="132"/>
      <c r="UW13" s="132"/>
      <c r="UX13" s="132"/>
      <c r="UY13" s="132"/>
      <c r="UZ13" s="132"/>
      <c r="VA13" s="132"/>
      <c r="VB13" s="132"/>
      <c r="VC13" s="132"/>
      <c r="VD13" s="132"/>
      <c r="VE13" s="132"/>
      <c r="VF13" s="132"/>
      <c r="VG13" s="132"/>
      <c r="VH13" s="132"/>
      <c r="VI13" s="132"/>
      <c r="VJ13" s="132"/>
      <c r="VK13" s="132"/>
      <c r="VL13" s="132"/>
      <c r="VM13" s="132"/>
      <c r="VN13" s="132"/>
      <c r="VO13" s="132"/>
      <c r="VP13" s="132"/>
      <c r="VQ13" s="132"/>
      <c r="VR13" s="132"/>
      <c r="VS13" s="132"/>
      <c r="VT13" s="132"/>
      <c r="VU13" s="132"/>
      <c r="VV13" s="132"/>
      <c r="VW13" s="132"/>
      <c r="VX13" s="132"/>
      <c r="VY13" s="132"/>
      <c r="VZ13" s="132"/>
      <c r="WA13" s="132"/>
      <c r="WB13" s="132"/>
      <c r="WC13" s="132"/>
      <c r="WD13" s="132"/>
      <c r="WE13" s="132"/>
      <c r="WF13" s="132"/>
      <c r="WG13" s="132"/>
      <c r="WH13" s="132"/>
      <c r="WI13" s="132"/>
      <c r="WJ13" s="132"/>
      <c r="WK13" s="132"/>
      <c r="WL13" s="132"/>
      <c r="WM13" s="132"/>
      <c r="WN13" s="132"/>
      <c r="WO13" s="132"/>
    </row>
    <row r="14" spans="1:613" s="497" customFormat="1" ht="55.5" customHeight="1" thickBot="1">
      <c r="A14" s="486">
        <v>3</v>
      </c>
      <c r="B14" s="346" t="s">
        <v>2449</v>
      </c>
      <c r="C14" s="395">
        <v>24</v>
      </c>
      <c r="D14" s="346" t="s">
        <v>2450</v>
      </c>
      <c r="E14" s="395">
        <v>2409</v>
      </c>
      <c r="F14" s="487" t="s">
        <v>2451</v>
      </c>
      <c r="G14" s="395" t="s">
        <v>2466</v>
      </c>
      <c r="H14" s="346" t="s">
        <v>2467</v>
      </c>
      <c r="I14" s="395">
        <v>240903900</v>
      </c>
      <c r="J14" s="488" t="s">
        <v>2468</v>
      </c>
      <c r="K14" s="395">
        <v>7</v>
      </c>
      <c r="L14" s="395"/>
      <c r="M14" s="395">
        <v>7</v>
      </c>
      <c r="N14" s="489">
        <v>2024003630018</v>
      </c>
      <c r="O14" s="393" t="s">
        <v>2454</v>
      </c>
      <c r="P14" s="393" t="s">
        <v>2473</v>
      </c>
      <c r="Q14" s="130">
        <v>25000000</v>
      </c>
      <c r="R14" s="129"/>
      <c r="S14" s="130"/>
      <c r="T14" s="130"/>
      <c r="U14" s="130">
        <v>25000000</v>
      </c>
      <c r="V14" s="490" t="s">
        <v>2474</v>
      </c>
      <c r="W14" s="490">
        <v>1</v>
      </c>
      <c r="X14" s="491" t="s">
        <v>2457</v>
      </c>
      <c r="Y14" s="492">
        <v>56377</v>
      </c>
      <c r="Z14" s="492">
        <v>56570</v>
      </c>
      <c r="AA14" s="492">
        <v>21068</v>
      </c>
      <c r="AB14" s="492">
        <v>7295</v>
      </c>
      <c r="AC14" s="373">
        <v>61732</v>
      </c>
      <c r="AD14" s="492">
        <v>22852</v>
      </c>
      <c r="AE14" s="492">
        <v>457</v>
      </c>
      <c r="AF14" s="492">
        <v>660</v>
      </c>
      <c r="AG14" s="492">
        <v>2</v>
      </c>
      <c r="AH14" s="492">
        <v>1</v>
      </c>
      <c r="AI14" s="492">
        <v>0</v>
      </c>
      <c r="AJ14" s="492">
        <v>0</v>
      </c>
      <c r="AK14" s="492">
        <v>0</v>
      </c>
      <c r="AL14" s="492">
        <v>0</v>
      </c>
      <c r="AM14" s="492">
        <v>0</v>
      </c>
      <c r="AN14" s="493">
        <f t="shared" si="1"/>
        <v>112947</v>
      </c>
      <c r="AO14" s="494">
        <v>46067</v>
      </c>
      <c r="AP14" s="495">
        <v>46387</v>
      </c>
      <c r="AQ14" s="496" t="s">
        <v>2458</v>
      </c>
      <c r="AR14" s="8"/>
      <c r="AS14" s="8"/>
      <c r="AT14" s="8"/>
      <c r="AU14" s="8"/>
      <c r="AV14" s="8"/>
      <c r="AW14" s="8"/>
      <c r="AX14" s="8"/>
      <c r="AY14" s="8"/>
      <c r="AZ14" s="8"/>
      <c r="BA14" s="8"/>
      <c r="BB14" s="8"/>
      <c r="BC14" s="8"/>
      <c r="BD14" s="8"/>
      <c r="BE14" s="8"/>
      <c r="BF14" s="8"/>
      <c r="BG14" s="132"/>
      <c r="BH14" s="132"/>
      <c r="BI14" s="132"/>
      <c r="BJ14" s="132"/>
      <c r="BK14" s="132"/>
      <c r="BL14" s="132"/>
      <c r="BM14" s="132"/>
      <c r="BN14" s="132"/>
      <c r="BO14" s="132"/>
      <c r="BP14" s="132"/>
      <c r="BQ14" s="132"/>
      <c r="BR14" s="132"/>
      <c r="BS14" s="132"/>
      <c r="BT14" s="132"/>
      <c r="BU14" s="132"/>
      <c r="BV14" s="132"/>
      <c r="BW14" s="132"/>
      <c r="BX14" s="132"/>
      <c r="BY14" s="132"/>
      <c r="BZ14" s="132"/>
      <c r="CA14" s="132"/>
      <c r="CB14" s="132"/>
      <c r="CC14" s="132"/>
      <c r="CD14" s="132"/>
      <c r="CE14" s="132"/>
      <c r="CF14" s="132"/>
      <c r="CG14" s="132"/>
      <c r="CH14" s="132"/>
      <c r="CI14" s="132"/>
      <c r="CJ14" s="132"/>
      <c r="CK14" s="132"/>
      <c r="CL14" s="132"/>
      <c r="CM14" s="132"/>
      <c r="CN14" s="132"/>
      <c r="CO14" s="132"/>
      <c r="CP14" s="132"/>
      <c r="CQ14" s="132"/>
      <c r="CR14" s="132"/>
      <c r="CS14" s="132"/>
      <c r="CT14" s="132"/>
      <c r="CU14" s="132"/>
      <c r="CV14" s="132"/>
      <c r="CW14" s="132"/>
      <c r="CX14" s="132"/>
      <c r="CY14" s="132"/>
      <c r="CZ14" s="132"/>
      <c r="DA14" s="132"/>
      <c r="DB14" s="132"/>
      <c r="DC14" s="132"/>
      <c r="DD14" s="132"/>
      <c r="DE14" s="132"/>
      <c r="DF14" s="132"/>
      <c r="DG14" s="132"/>
      <c r="DH14" s="132"/>
      <c r="DI14" s="132"/>
      <c r="DJ14" s="132"/>
      <c r="DK14" s="132"/>
      <c r="DL14" s="132"/>
      <c r="DM14" s="132"/>
      <c r="DN14" s="132"/>
      <c r="DO14" s="132"/>
      <c r="DP14" s="132"/>
      <c r="DQ14" s="132"/>
      <c r="DR14" s="132"/>
      <c r="DS14" s="132"/>
      <c r="DT14" s="132"/>
      <c r="DU14" s="132"/>
      <c r="DV14" s="132"/>
      <c r="DW14" s="132"/>
      <c r="DX14" s="132"/>
      <c r="DY14" s="132"/>
      <c r="DZ14" s="132"/>
      <c r="EA14" s="132"/>
      <c r="EB14" s="132"/>
      <c r="EC14" s="132"/>
      <c r="ED14" s="132"/>
      <c r="EE14" s="132"/>
      <c r="EF14" s="132"/>
      <c r="EG14" s="132"/>
      <c r="EH14" s="132"/>
      <c r="EI14" s="132"/>
      <c r="EJ14" s="132"/>
      <c r="EK14" s="132"/>
      <c r="EL14" s="132"/>
      <c r="EM14" s="132"/>
      <c r="EN14" s="132"/>
      <c r="EO14" s="132"/>
      <c r="EP14" s="132"/>
      <c r="EQ14" s="132"/>
      <c r="ER14" s="132"/>
      <c r="ES14" s="132"/>
      <c r="ET14" s="132"/>
      <c r="EU14" s="132"/>
      <c r="EV14" s="132"/>
      <c r="EW14" s="132"/>
      <c r="EX14" s="132"/>
      <c r="EY14" s="132"/>
      <c r="EZ14" s="132"/>
      <c r="FA14" s="132"/>
      <c r="FB14" s="132"/>
      <c r="FC14" s="132"/>
      <c r="FD14" s="132"/>
      <c r="FE14" s="132"/>
      <c r="FF14" s="132"/>
      <c r="FG14" s="132"/>
      <c r="FH14" s="132"/>
      <c r="FI14" s="132"/>
      <c r="FJ14" s="132"/>
      <c r="FK14" s="132"/>
      <c r="FL14" s="132"/>
      <c r="FM14" s="132"/>
      <c r="FN14" s="132"/>
      <c r="FO14" s="132"/>
      <c r="FP14" s="132"/>
      <c r="FQ14" s="132"/>
      <c r="FR14" s="132"/>
      <c r="FS14" s="132"/>
      <c r="FT14" s="132"/>
      <c r="FU14" s="132"/>
      <c r="FV14" s="132"/>
      <c r="FW14" s="132"/>
      <c r="FX14" s="132"/>
      <c r="FY14" s="132"/>
      <c r="FZ14" s="132"/>
      <c r="GA14" s="132"/>
      <c r="GB14" s="132"/>
      <c r="GC14" s="132"/>
      <c r="GD14" s="132"/>
      <c r="GE14" s="132"/>
      <c r="GF14" s="132"/>
      <c r="GG14" s="132"/>
      <c r="GH14" s="132"/>
      <c r="GI14" s="132"/>
      <c r="GJ14" s="132"/>
      <c r="GK14" s="132"/>
      <c r="GL14" s="132"/>
      <c r="GM14" s="132"/>
      <c r="GN14" s="132"/>
      <c r="GO14" s="132"/>
      <c r="GP14" s="132"/>
      <c r="GQ14" s="132"/>
      <c r="GR14" s="132"/>
      <c r="GS14" s="132"/>
      <c r="GT14" s="132"/>
      <c r="GU14" s="132"/>
      <c r="GV14" s="132"/>
      <c r="GW14" s="132"/>
      <c r="GX14" s="132"/>
      <c r="GY14" s="132"/>
      <c r="GZ14" s="132"/>
      <c r="HA14" s="132"/>
      <c r="HB14" s="132"/>
      <c r="HC14" s="132"/>
      <c r="HD14" s="132"/>
      <c r="HE14" s="132"/>
      <c r="HF14" s="132"/>
      <c r="HG14" s="132"/>
      <c r="HH14" s="132"/>
      <c r="HI14" s="132"/>
      <c r="HJ14" s="132"/>
      <c r="HK14" s="132"/>
      <c r="HL14" s="132"/>
      <c r="HM14" s="132"/>
      <c r="HN14" s="132"/>
      <c r="HO14" s="132"/>
      <c r="HP14" s="132"/>
      <c r="HQ14" s="132"/>
      <c r="HR14" s="132"/>
      <c r="HS14" s="132"/>
      <c r="HT14" s="132"/>
      <c r="HU14" s="132"/>
      <c r="HV14" s="132"/>
      <c r="HW14" s="132"/>
      <c r="HX14" s="132"/>
      <c r="HY14" s="132"/>
      <c r="HZ14" s="132"/>
      <c r="IA14" s="132"/>
      <c r="IB14" s="132"/>
      <c r="IC14" s="132"/>
      <c r="ID14" s="132"/>
      <c r="IE14" s="132"/>
      <c r="IF14" s="132"/>
      <c r="IG14" s="132"/>
      <c r="IH14" s="132"/>
      <c r="II14" s="132"/>
      <c r="IJ14" s="132"/>
      <c r="IK14" s="132"/>
      <c r="IL14" s="132"/>
      <c r="IM14" s="132"/>
      <c r="IN14" s="132"/>
      <c r="IO14" s="132"/>
      <c r="IP14" s="132"/>
      <c r="IQ14" s="132"/>
      <c r="IR14" s="132"/>
      <c r="IS14" s="132"/>
      <c r="IT14" s="132"/>
      <c r="IU14" s="132"/>
      <c r="IV14" s="132"/>
      <c r="IW14" s="132"/>
      <c r="IX14" s="132"/>
      <c r="IY14" s="132"/>
      <c r="IZ14" s="132"/>
      <c r="JA14" s="132"/>
      <c r="JB14" s="132"/>
      <c r="JC14" s="132"/>
      <c r="JD14" s="132"/>
      <c r="JE14" s="132"/>
      <c r="JF14" s="132"/>
      <c r="JG14" s="132"/>
      <c r="JH14" s="132"/>
      <c r="JI14" s="132"/>
      <c r="JJ14" s="132"/>
      <c r="JK14" s="132"/>
      <c r="JL14" s="132"/>
      <c r="JM14" s="132"/>
      <c r="JN14" s="132"/>
      <c r="JO14" s="132"/>
      <c r="JP14" s="132"/>
      <c r="JQ14" s="132"/>
      <c r="JR14" s="132"/>
      <c r="JS14" s="132"/>
      <c r="JT14" s="132"/>
      <c r="JU14" s="132"/>
      <c r="JV14" s="132"/>
      <c r="JW14" s="132"/>
      <c r="JX14" s="132"/>
      <c r="JY14" s="132"/>
      <c r="JZ14" s="132"/>
      <c r="KA14" s="132"/>
      <c r="KB14" s="132"/>
      <c r="KC14" s="132"/>
      <c r="KD14" s="132"/>
      <c r="KE14" s="132"/>
      <c r="KF14" s="132"/>
      <c r="KG14" s="132"/>
      <c r="KH14" s="132"/>
      <c r="KI14" s="132"/>
      <c r="KJ14" s="132"/>
      <c r="KK14" s="132"/>
      <c r="KL14" s="132"/>
      <c r="KM14" s="132"/>
      <c r="KN14" s="132"/>
      <c r="KO14" s="132"/>
      <c r="KP14" s="132"/>
      <c r="KQ14" s="132"/>
      <c r="KR14" s="132"/>
      <c r="KS14" s="132"/>
      <c r="KT14" s="132"/>
      <c r="KU14" s="132"/>
      <c r="KV14" s="132"/>
      <c r="KW14" s="132"/>
      <c r="KX14" s="132"/>
      <c r="KY14" s="132"/>
      <c r="KZ14" s="132"/>
      <c r="LA14" s="132"/>
      <c r="LB14" s="132"/>
      <c r="LC14" s="132"/>
      <c r="LD14" s="132"/>
      <c r="LE14" s="132"/>
      <c r="LF14" s="132"/>
      <c r="LG14" s="132"/>
      <c r="LH14" s="132"/>
      <c r="LI14" s="132"/>
      <c r="LJ14" s="132"/>
      <c r="LK14" s="132"/>
      <c r="LL14" s="132"/>
      <c r="LM14" s="132"/>
      <c r="LN14" s="132"/>
      <c r="LO14" s="132"/>
      <c r="LP14" s="132"/>
      <c r="LQ14" s="132"/>
      <c r="LR14" s="132"/>
      <c r="LS14" s="132"/>
      <c r="LT14" s="132"/>
      <c r="LU14" s="132"/>
      <c r="LV14" s="132"/>
      <c r="LW14" s="132"/>
      <c r="LX14" s="132"/>
      <c r="LY14" s="132"/>
      <c r="LZ14" s="132"/>
      <c r="MA14" s="132"/>
      <c r="MB14" s="132"/>
      <c r="MC14" s="132"/>
      <c r="MD14" s="132"/>
      <c r="ME14" s="132"/>
      <c r="MF14" s="132"/>
      <c r="MG14" s="132"/>
      <c r="MH14" s="132"/>
      <c r="MI14" s="132"/>
      <c r="MJ14" s="132"/>
      <c r="MK14" s="132"/>
      <c r="ML14" s="132"/>
      <c r="MM14" s="132"/>
      <c r="MN14" s="132"/>
      <c r="MO14" s="132"/>
      <c r="MP14" s="132"/>
      <c r="MQ14" s="132"/>
      <c r="MR14" s="132"/>
      <c r="MS14" s="132"/>
      <c r="MT14" s="132"/>
      <c r="MU14" s="132"/>
      <c r="MV14" s="132"/>
      <c r="MW14" s="132"/>
      <c r="MX14" s="132"/>
      <c r="MY14" s="132"/>
      <c r="MZ14" s="132"/>
      <c r="NA14" s="132"/>
      <c r="NB14" s="132"/>
      <c r="NC14" s="132"/>
      <c r="ND14" s="132"/>
      <c r="NE14" s="132"/>
      <c r="NF14" s="132"/>
      <c r="NG14" s="132"/>
      <c r="NH14" s="132"/>
      <c r="NI14" s="132"/>
      <c r="NJ14" s="132"/>
      <c r="NK14" s="132"/>
      <c r="NL14" s="132"/>
      <c r="NM14" s="132"/>
      <c r="NN14" s="132"/>
      <c r="NO14" s="132"/>
      <c r="NP14" s="132"/>
      <c r="NQ14" s="132"/>
      <c r="NR14" s="132"/>
      <c r="NS14" s="132"/>
      <c r="NT14" s="132"/>
      <c r="NU14" s="132"/>
      <c r="NV14" s="132"/>
      <c r="NW14" s="132"/>
      <c r="NX14" s="132"/>
      <c r="NY14" s="132"/>
      <c r="NZ14" s="132"/>
      <c r="OA14" s="132"/>
      <c r="OB14" s="132"/>
      <c r="OC14" s="132"/>
      <c r="OD14" s="132"/>
      <c r="OE14" s="132"/>
      <c r="OF14" s="132"/>
      <c r="OG14" s="132"/>
      <c r="OH14" s="132"/>
      <c r="OI14" s="132"/>
      <c r="OJ14" s="132"/>
      <c r="OK14" s="132"/>
      <c r="OL14" s="132"/>
      <c r="OM14" s="132"/>
      <c r="ON14" s="132"/>
      <c r="OO14" s="132"/>
      <c r="OP14" s="132"/>
      <c r="OQ14" s="132"/>
      <c r="OR14" s="132"/>
      <c r="OS14" s="132"/>
      <c r="OT14" s="132"/>
      <c r="OU14" s="132"/>
      <c r="OV14" s="132"/>
      <c r="OW14" s="132"/>
      <c r="OX14" s="132"/>
      <c r="OY14" s="132"/>
      <c r="OZ14" s="132"/>
      <c r="PA14" s="132"/>
      <c r="PB14" s="132"/>
      <c r="PC14" s="132"/>
      <c r="PD14" s="132"/>
      <c r="PE14" s="132"/>
      <c r="PF14" s="132"/>
      <c r="PG14" s="132"/>
      <c r="PH14" s="132"/>
      <c r="PI14" s="132"/>
      <c r="PJ14" s="132"/>
      <c r="PK14" s="132"/>
      <c r="PL14" s="132"/>
      <c r="PM14" s="132"/>
      <c r="PN14" s="132"/>
      <c r="PO14" s="132"/>
      <c r="PP14" s="132"/>
      <c r="PQ14" s="132"/>
      <c r="PR14" s="132"/>
      <c r="PS14" s="132"/>
      <c r="PT14" s="132"/>
      <c r="PU14" s="132"/>
      <c r="PV14" s="132"/>
      <c r="PW14" s="132"/>
      <c r="PX14" s="132"/>
      <c r="PY14" s="132"/>
      <c r="PZ14" s="132"/>
      <c r="QA14" s="132"/>
      <c r="QB14" s="132"/>
      <c r="QC14" s="132"/>
      <c r="QD14" s="132"/>
      <c r="QE14" s="132"/>
      <c r="QF14" s="132"/>
      <c r="QG14" s="132"/>
      <c r="QH14" s="132"/>
      <c r="QI14" s="132"/>
      <c r="QJ14" s="132"/>
      <c r="QK14" s="132"/>
      <c r="QL14" s="132"/>
      <c r="QM14" s="132"/>
      <c r="QN14" s="132"/>
      <c r="QO14" s="132"/>
      <c r="QP14" s="132"/>
      <c r="QQ14" s="132"/>
      <c r="QR14" s="132"/>
      <c r="QS14" s="132"/>
      <c r="QT14" s="132"/>
      <c r="QU14" s="132"/>
      <c r="QV14" s="132"/>
      <c r="QW14" s="132"/>
      <c r="QX14" s="132"/>
      <c r="QY14" s="132"/>
      <c r="QZ14" s="132"/>
      <c r="RA14" s="132"/>
      <c r="RB14" s="132"/>
      <c r="RC14" s="132"/>
      <c r="RD14" s="132"/>
      <c r="RE14" s="132"/>
      <c r="RF14" s="132"/>
      <c r="RG14" s="132"/>
      <c r="RH14" s="132"/>
      <c r="RI14" s="132"/>
      <c r="RJ14" s="132"/>
      <c r="RK14" s="132"/>
      <c r="RL14" s="132"/>
      <c r="RM14" s="132"/>
      <c r="RN14" s="132"/>
      <c r="RO14" s="132"/>
      <c r="RP14" s="132"/>
      <c r="RQ14" s="132"/>
      <c r="RR14" s="132"/>
      <c r="RS14" s="132"/>
      <c r="RT14" s="132"/>
      <c r="RU14" s="132"/>
      <c r="RV14" s="132"/>
      <c r="RW14" s="132"/>
      <c r="RX14" s="132"/>
      <c r="RY14" s="132"/>
      <c r="RZ14" s="132"/>
      <c r="SA14" s="132"/>
      <c r="SB14" s="132"/>
      <c r="SC14" s="132"/>
      <c r="SD14" s="132"/>
      <c r="SE14" s="132"/>
      <c r="SF14" s="132"/>
      <c r="SG14" s="132"/>
      <c r="SH14" s="132"/>
      <c r="SI14" s="132"/>
      <c r="SJ14" s="132"/>
      <c r="SK14" s="132"/>
      <c r="SL14" s="132"/>
      <c r="SM14" s="132"/>
      <c r="SN14" s="132"/>
      <c r="SO14" s="132"/>
      <c r="SP14" s="132"/>
      <c r="SQ14" s="132"/>
      <c r="SR14" s="132"/>
      <c r="SS14" s="132"/>
      <c r="ST14" s="132"/>
      <c r="SU14" s="132"/>
      <c r="SV14" s="132"/>
      <c r="SW14" s="132"/>
      <c r="SX14" s="132"/>
      <c r="SY14" s="132"/>
      <c r="SZ14" s="132"/>
      <c r="TA14" s="132"/>
      <c r="TB14" s="132"/>
      <c r="TC14" s="132"/>
      <c r="TD14" s="132"/>
      <c r="TE14" s="132"/>
      <c r="TF14" s="132"/>
      <c r="TG14" s="132"/>
      <c r="TH14" s="132"/>
      <c r="TI14" s="132"/>
      <c r="TJ14" s="132"/>
      <c r="TK14" s="132"/>
      <c r="TL14" s="132"/>
      <c r="TM14" s="132"/>
      <c r="TN14" s="132"/>
      <c r="TO14" s="132"/>
      <c r="TP14" s="132"/>
      <c r="TQ14" s="132"/>
      <c r="TR14" s="132"/>
      <c r="TS14" s="132"/>
      <c r="TT14" s="132"/>
      <c r="TU14" s="132"/>
      <c r="TV14" s="132"/>
      <c r="TW14" s="132"/>
      <c r="TX14" s="132"/>
      <c r="TY14" s="132"/>
      <c r="TZ14" s="132"/>
      <c r="UA14" s="132"/>
      <c r="UB14" s="132"/>
      <c r="UC14" s="132"/>
      <c r="UD14" s="132"/>
      <c r="UE14" s="132"/>
      <c r="UF14" s="132"/>
      <c r="UG14" s="132"/>
      <c r="UH14" s="132"/>
      <c r="UI14" s="132"/>
      <c r="UJ14" s="132"/>
      <c r="UK14" s="132"/>
      <c r="UL14" s="132"/>
      <c r="UM14" s="132"/>
      <c r="UN14" s="132"/>
      <c r="UO14" s="132"/>
      <c r="UP14" s="132"/>
      <c r="UQ14" s="132"/>
      <c r="UR14" s="132"/>
      <c r="US14" s="132"/>
      <c r="UT14" s="132"/>
      <c r="UU14" s="132"/>
      <c r="UV14" s="132"/>
      <c r="UW14" s="132"/>
      <c r="UX14" s="132"/>
      <c r="UY14" s="132"/>
      <c r="UZ14" s="132"/>
      <c r="VA14" s="132"/>
      <c r="VB14" s="132"/>
      <c r="VC14" s="132"/>
      <c r="VD14" s="132"/>
      <c r="VE14" s="132"/>
      <c r="VF14" s="132"/>
      <c r="VG14" s="132"/>
      <c r="VH14" s="132"/>
      <c r="VI14" s="132"/>
      <c r="VJ14" s="132"/>
      <c r="VK14" s="132"/>
      <c r="VL14" s="132"/>
      <c r="VM14" s="132"/>
      <c r="VN14" s="132"/>
      <c r="VO14" s="132"/>
      <c r="VP14" s="132"/>
      <c r="VQ14" s="132"/>
      <c r="VR14" s="132"/>
      <c r="VS14" s="132"/>
      <c r="VT14" s="132"/>
      <c r="VU14" s="132"/>
      <c r="VV14" s="132"/>
      <c r="VW14" s="132"/>
      <c r="VX14" s="132"/>
      <c r="VY14" s="132"/>
      <c r="VZ14" s="132"/>
      <c r="WA14" s="132"/>
      <c r="WB14" s="132"/>
      <c r="WC14" s="132"/>
      <c r="WD14" s="132"/>
      <c r="WE14" s="132"/>
      <c r="WF14" s="132"/>
      <c r="WG14" s="132"/>
      <c r="WH14" s="132"/>
      <c r="WI14" s="132"/>
      <c r="WJ14" s="132"/>
      <c r="WK14" s="132"/>
      <c r="WL14" s="132"/>
      <c r="WM14" s="132"/>
      <c r="WN14" s="132"/>
      <c r="WO14" s="132"/>
    </row>
    <row r="15" spans="1:613" s="16" customFormat="1" ht="55.5" customHeight="1" thickBot="1">
      <c r="A15" s="358">
        <v>3</v>
      </c>
      <c r="B15" s="386" t="s">
        <v>2449</v>
      </c>
      <c r="C15" s="358">
        <v>24</v>
      </c>
      <c r="D15" s="386" t="s">
        <v>2450</v>
      </c>
      <c r="E15" s="358">
        <v>2409</v>
      </c>
      <c r="F15" s="487" t="s">
        <v>2451</v>
      </c>
      <c r="G15" s="358" t="s">
        <v>2466</v>
      </c>
      <c r="H15" s="386" t="s">
        <v>2467</v>
      </c>
      <c r="I15" s="358" t="s">
        <v>2475</v>
      </c>
      <c r="J15" s="476" t="s">
        <v>2468</v>
      </c>
      <c r="K15" s="358">
        <v>7</v>
      </c>
      <c r="L15" s="358"/>
      <c r="M15" s="358">
        <f t="shared" si="0"/>
        <v>7</v>
      </c>
      <c r="N15" s="498">
        <v>2024003630018</v>
      </c>
      <c r="O15" s="362" t="s">
        <v>2454</v>
      </c>
      <c r="P15" s="362" t="s">
        <v>2476</v>
      </c>
      <c r="Q15" s="130">
        <v>61000000</v>
      </c>
      <c r="R15" s="129"/>
      <c r="S15" s="130"/>
      <c r="T15" s="130"/>
      <c r="U15" s="130">
        <v>61000000</v>
      </c>
      <c r="V15" s="357" t="s">
        <v>2470</v>
      </c>
      <c r="W15" s="357">
        <v>1</v>
      </c>
      <c r="X15" s="499" t="s">
        <v>2457</v>
      </c>
      <c r="Y15" s="500">
        <v>56377</v>
      </c>
      <c r="Z15" s="500">
        <v>56570</v>
      </c>
      <c r="AA15" s="500">
        <v>21068</v>
      </c>
      <c r="AB15" s="500">
        <v>7295</v>
      </c>
      <c r="AC15" s="501">
        <v>61732</v>
      </c>
      <c r="AD15" s="500">
        <v>22852</v>
      </c>
      <c r="AE15" s="500">
        <v>457</v>
      </c>
      <c r="AF15" s="500">
        <v>660</v>
      </c>
      <c r="AG15" s="500">
        <v>2</v>
      </c>
      <c r="AH15" s="500">
        <v>1</v>
      </c>
      <c r="AI15" s="500">
        <v>0</v>
      </c>
      <c r="AJ15" s="500">
        <v>0</v>
      </c>
      <c r="AK15" s="500">
        <v>0</v>
      </c>
      <c r="AL15" s="500">
        <v>0</v>
      </c>
      <c r="AM15" s="500">
        <v>0</v>
      </c>
      <c r="AN15" s="493">
        <f t="shared" si="1"/>
        <v>112947</v>
      </c>
      <c r="AO15" s="494">
        <v>46067</v>
      </c>
      <c r="AP15" s="495">
        <v>46387</v>
      </c>
      <c r="AQ15" s="502" t="s">
        <v>2458</v>
      </c>
      <c r="AR15" s="8"/>
      <c r="AS15" s="8"/>
      <c r="AT15" s="8"/>
      <c r="AU15" s="8"/>
      <c r="AV15" s="8"/>
      <c r="AW15" s="8"/>
      <c r="AX15" s="8"/>
      <c r="AY15" s="8"/>
      <c r="AZ15" s="8"/>
      <c r="BA15" s="8"/>
      <c r="BB15" s="8"/>
      <c r="BC15" s="8"/>
      <c r="BD15" s="8"/>
      <c r="BE15" s="8"/>
      <c r="BF15" s="8"/>
      <c r="BG15" s="132"/>
      <c r="BH15" s="132"/>
      <c r="BI15" s="132"/>
      <c r="BJ15" s="132"/>
      <c r="BK15" s="132"/>
      <c r="BL15" s="132"/>
      <c r="BM15" s="132"/>
      <c r="BN15" s="132"/>
      <c r="BO15" s="132"/>
      <c r="BP15" s="132"/>
      <c r="BQ15" s="132"/>
      <c r="BR15" s="132"/>
      <c r="BS15" s="132"/>
      <c r="BT15" s="132"/>
      <c r="BU15" s="132"/>
      <c r="BV15" s="132"/>
      <c r="BW15" s="132"/>
      <c r="BX15" s="132"/>
      <c r="BY15" s="132"/>
      <c r="BZ15" s="132"/>
      <c r="CA15" s="132"/>
      <c r="CB15" s="132"/>
      <c r="CC15" s="132"/>
      <c r="CD15" s="132"/>
      <c r="CE15" s="132"/>
      <c r="CF15" s="132"/>
      <c r="CG15" s="132"/>
      <c r="CH15" s="132"/>
      <c r="CI15" s="132"/>
      <c r="CJ15" s="132"/>
      <c r="CK15" s="132"/>
      <c r="CL15" s="132"/>
      <c r="CM15" s="132"/>
      <c r="CN15" s="132"/>
      <c r="CO15" s="132"/>
      <c r="CP15" s="132"/>
      <c r="CQ15" s="132"/>
      <c r="CR15" s="132"/>
      <c r="CS15" s="132"/>
      <c r="CT15" s="132"/>
      <c r="CU15" s="132"/>
      <c r="CV15" s="132"/>
      <c r="CW15" s="132"/>
      <c r="CX15" s="132"/>
      <c r="CY15" s="132"/>
      <c r="CZ15" s="132"/>
      <c r="DA15" s="132"/>
      <c r="DB15" s="132"/>
      <c r="DC15" s="132"/>
      <c r="DD15" s="132"/>
      <c r="DE15" s="132"/>
      <c r="DF15" s="132"/>
      <c r="DG15" s="132"/>
      <c r="DH15" s="132"/>
      <c r="DI15" s="132"/>
      <c r="DJ15" s="132"/>
      <c r="DK15" s="132"/>
      <c r="DL15" s="132"/>
      <c r="DM15" s="132"/>
      <c r="DN15" s="132"/>
      <c r="DO15" s="132"/>
      <c r="DP15" s="132"/>
      <c r="DQ15" s="132"/>
      <c r="DR15" s="132"/>
      <c r="DS15" s="132"/>
      <c r="DT15" s="132"/>
      <c r="DU15" s="132"/>
      <c r="DV15" s="132"/>
      <c r="DW15" s="132"/>
      <c r="DX15" s="132"/>
      <c r="DY15" s="132"/>
      <c r="DZ15" s="132"/>
      <c r="EA15" s="132"/>
      <c r="EB15" s="132"/>
      <c r="EC15" s="132"/>
      <c r="ED15" s="132"/>
      <c r="EE15" s="132"/>
      <c r="EF15" s="132"/>
      <c r="EG15" s="132"/>
      <c r="EH15" s="132"/>
      <c r="EI15" s="132"/>
      <c r="EJ15" s="132"/>
      <c r="EK15" s="132"/>
      <c r="EL15" s="132"/>
      <c r="EM15" s="132"/>
      <c r="EN15" s="132"/>
      <c r="EO15" s="132"/>
      <c r="EP15" s="132"/>
      <c r="EQ15" s="132"/>
      <c r="ER15" s="132"/>
      <c r="ES15" s="132"/>
      <c r="ET15" s="132"/>
      <c r="EU15" s="132"/>
      <c r="EV15" s="132"/>
      <c r="EW15" s="132"/>
      <c r="EX15" s="132"/>
      <c r="EY15" s="132"/>
      <c r="EZ15" s="132"/>
      <c r="FA15" s="132"/>
      <c r="FB15" s="132"/>
      <c r="FC15" s="132"/>
      <c r="FD15" s="132"/>
      <c r="FE15" s="132"/>
      <c r="FF15" s="132"/>
      <c r="FG15" s="132"/>
      <c r="FH15" s="132"/>
      <c r="FI15" s="132"/>
      <c r="FJ15" s="132"/>
      <c r="FK15" s="132"/>
      <c r="FL15" s="132"/>
      <c r="FM15" s="132"/>
      <c r="FN15" s="132"/>
      <c r="FO15" s="132"/>
      <c r="FP15" s="132"/>
      <c r="FQ15" s="132"/>
      <c r="FR15" s="132"/>
      <c r="FS15" s="132"/>
      <c r="FT15" s="132"/>
      <c r="FU15" s="132"/>
      <c r="FV15" s="132"/>
      <c r="FW15" s="132"/>
      <c r="FX15" s="132"/>
      <c r="FY15" s="132"/>
      <c r="FZ15" s="132"/>
      <c r="GA15" s="132"/>
      <c r="GB15" s="132"/>
      <c r="GC15" s="132"/>
      <c r="GD15" s="132"/>
      <c r="GE15" s="132"/>
      <c r="GF15" s="132"/>
      <c r="GG15" s="132"/>
      <c r="GH15" s="132"/>
      <c r="GI15" s="132"/>
      <c r="GJ15" s="132"/>
      <c r="GK15" s="132"/>
      <c r="GL15" s="132"/>
      <c r="GM15" s="132"/>
      <c r="GN15" s="132"/>
      <c r="GO15" s="132"/>
      <c r="GP15" s="132"/>
      <c r="GQ15" s="132"/>
      <c r="GR15" s="132"/>
      <c r="GS15" s="132"/>
      <c r="GT15" s="132"/>
      <c r="GU15" s="132"/>
      <c r="GV15" s="132"/>
      <c r="GW15" s="132"/>
      <c r="GX15" s="132"/>
      <c r="GY15" s="132"/>
      <c r="GZ15" s="132"/>
      <c r="HA15" s="132"/>
      <c r="HB15" s="132"/>
      <c r="HC15" s="132"/>
      <c r="HD15" s="132"/>
      <c r="HE15" s="132"/>
      <c r="HF15" s="132"/>
      <c r="HG15" s="132"/>
      <c r="HH15" s="132"/>
      <c r="HI15" s="132"/>
      <c r="HJ15" s="132"/>
      <c r="HK15" s="132"/>
      <c r="HL15" s="132"/>
      <c r="HM15" s="132"/>
      <c r="HN15" s="132"/>
      <c r="HO15" s="132"/>
      <c r="HP15" s="132"/>
      <c r="HQ15" s="132"/>
      <c r="HR15" s="132"/>
      <c r="HS15" s="132"/>
      <c r="HT15" s="132"/>
      <c r="HU15" s="132"/>
      <c r="HV15" s="132"/>
      <c r="HW15" s="132"/>
      <c r="HX15" s="132"/>
      <c r="HY15" s="132"/>
      <c r="HZ15" s="132"/>
      <c r="IA15" s="132"/>
      <c r="IB15" s="132"/>
      <c r="IC15" s="132"/>
      <c r="ID15" s="132"/>
      <c r="IE15" s="132"/>
      <c r="IF15" s="132"/>
      <c r="IG15" s="132"/>
      <c r="IH15" s="132"/>
      <c r="II15" s="132"/>
      <c r="IJ15" s="132"/>
      <c r="IK15" s="132"/>
      <c r="IL15" s="132"/>
      <c r="IM15" s="132"/>
      <c r="IN15" s="132"/>
      <c r="IO15" s="132"/>
      <c r="IP15" s="132"/>
      <c r="IQ15" s="132"/>
      <c r="IR15" s="132"/>
      <c r="IS15" s="132"/>
      <c r="IT15" s="132"/>
      <c r="IU15" s="132"/>
      <c r="IV15" s="132"/>
      <c r="IW15" s="132"/>
      <c r="IX15" s="132"/>
      <c r="IY15" s="132"/>
      <c r="IZ15" s="132"/>
      <c r="JA15" s="132"/>
      <c r="JB15" s="132"/>
      <c r="JC15" s="132"/>
      <c r="JD15" s="132"/>
      <c r="JE15" s="132"/>
      <c r="JF15" s="132"/>
      <c r="JG15" s="132"/>
      <c r="JH15" s="132"/>
      <c r="JI15" s="132"/>
      <c r="JJ15" s="132"/>
      <c r="JK15" s="132"/>
      <c r="JL15" s="132"/>
      <c r="JM15" s="132"/>
      <c r="JN15" s="132"/>
      <c r="JO15" s="132"/>
      <c r="JP15" s="132"/>
      <c r="JQ15" s="132"/>
      <c r="JR15" s="132"/>
      <c r="JS15" s="132"/>
      <c r="JT15" s="132"/>
      <c r="JU15" s="132"/>
      <c r="JV15" s="132"/>
      <c r="JW15" s="132"/>
      <c r="JX15" s="132"/>
      <c r="JY15" s="132"/>
      <c r="JZ15" s="132"/>
      <c r="KA15" s="132"/>
      <c r="KB15" s="132"/>
      <c r="KC15" s="132"/>
      <c r="KD15" s="132"/>
      <c r="KE15" s="132"/>
      <c r="KF15" s="132"/>
      <c r="KG15" s="132"/>
      <c r="KH15" s="132"/>
      <c r="KI15" s="132"/>
      <c r="KJ15" s="132"/>
      <c r="KK15" s="132"/>
      <c r="KL15" s="132"/>
      <c r="KM15" s="132"/>
      <c r="KN15" s="132"/>
      <c r="KO15" s="132"/>
      <c r="KP15" s="132"/>
      <c r="KQ15" s="132"/>
      <c r="KR15" s="132"/>
      <c r="KS15" s="132"/>
      <c r="KT15" s="132"/>
      <c r="KU15" s="132"/>
      <c r="KV15" s="132"/>
      <c r="KW15" s="132"/>
      <c r="KX15" s="132"/>
      <c r="KY15" s="132"/>
      <c r="KZ15" s="132"/>
      <c r="LA15" s="132"/>
      <c r="LB15" s="132"/>
      <c r="LC15" s="132"/>
      <c r="LD15" s="132"/>
      <c r="LE15" s="132"/>
      <c r="LF15" s="132"/>
      <c r="LG15" s="132"/>
      <c r="LH15" s="132"/>
      <c r="LI15" s="132"/>
      <c r="LJ15" s="132"/>
      <c r="LK15" s="132"/>
      <c r="LL15" s="132"/>
      <c r="LM15" s="132"/>
      <c r="LN15" s="132"/>
      <c r="LO15" s="132"/>
      <c r="LP15" s="132"/>
      <c r="LQ15" s="132"/>
      <c r="LR15" s="132"/>
      <c r="LS15" s="132"/>
      <c r="LT15" s="132"/>
      <c r="LU15" s="132"/>
      <c r="LV15" s="132"/>
      <c r="LW15" s="132"/>
      <c r="LX15" s="132"/>
      <c r="LY15" s="132"/>
      <c r="LZ15" s="132"/>
      <c r="MA15" s="132"/>
      <c r="MB15" s="132"/>
      <c r="MC15" s="132"/>
      <c r="MD15" s="132"/>
      <c r="ME15" s="132"/>
      <c r="MF15" s="132"/>
      <c r="MG15" s="132"/>
      <c r="MH15" s="132"/>
      <c r="MI15" s="132"/>
      <c r="MJ15" s="132"/>
      <c r="MK15" s="132"/>
      <c r="ML15" s="132"/>
      <c r="MM15" s="132"/>
      <c r="MN15" s="132"/>
      <c r="MO15" s="132"/>
      <c r="MP15" s="132"/>
      <c r="MQ15" s="132"/>
      <c r="MR15" s="132"/>
      <c r="MS15" s="132"/>
      <c r="MT15" s="132"/>
      <c r="MU15" s="132"/>
      <c r="MV15" s="132"/>
      <c r="MW15" s="132"/>
      <c r="MX15" s="132"/>
      <c r="MY15" s="132"/>
      <c r="MZ15" s="132"/>
      <c r="NA15" s="132"/>
      <c r="NB15" s="132"/>
      <c r="NC15" s="132"/>
      <c r="ND15" s="132"/>
      <c r="NE15" s="132"/>
      <c r="NF15" s="132"/>
      <c r="NG15" s="132"/>
      <c r="NH15" s="132"/>
      <c r="NI15" s="132"/>
      <c r="NJ15" s="132"/>
      <c r="NK15" s="132"/>
      <c r="NL15" s="132"/>
      <c r="NM15" s="132"/>
      <c r="NN15" s="132"/>
      <c r="NO15" s="132"/>
      <c r="NP15" s="132"/>
      <c r="NQ15" s="132"/>
      <c r="NR15" s="132"/>
      <c r="NS15" s="132"/>
      <c r="NT15" s="132"/>
      <c r="NU15" s="132"/>
      <c r="NV15" s="132"/>
      <c r="NW15" s="132"/>
      <c r="NX15" s="132"/>
      <c r="NY15" s="132"/>
      <c r="NZ15" s="132"/>
      <c r="OA15" s="132"/>
      <c r="OB15" s="132"/>
      <c r="OC15" s="132"/>
      <c r="OD15" s="132"/>
      <c r="OE15" s="132"/>
      <c r="OF15" s="132"/>
      <c r="OG15" s="132"/>
      <c r="OH15" s="132"/>
      <c r="OI15" s="132"/>
      <c r="OJ15" s="132"/>
      <c r="OK15" s="132"/>
      <c r="OL15" s="132"/>
      <c r="OM15" s="132"/>
      <c r="ON15" s="132"/>
      <c r="OO15" s="132"/>
      <c r="OP15" s="132"/>
      <c r="OQ15" s="132"/>
      <c r="OR15" s="132"/>
      <c r="OS15" s="132"/>
      <c r="OT15" s="132"/>
      <c r="OU15" s="132"/>
      <c r="OV15" s="132"/>
      <c r="OW15" s="132"/>
      <c r="OX15" s="132"/>
      <c r="OY15" s="132"/>
      <c r="OZ15" s="132"/>
      <c r="PA15" s="132"/>
      <c r="PB15" s="132"/>
      <c r="PC15" s="132"/>
      <c r="PD15" s="132"/>
      <c r="PE15" s="132"/>
      <c r="PF15" s="132"/>
      <c r="PG15" s="132"/>
      <c r="PH15" s="132"/>
      <c r="PI15" s="132"/>
      <c r="PJ15" s="132"/>
      <c r="PK15" s="132"/>
      <c r="PL15" s="132"/>
      <c r="PM15" s="132"/>
      <c r="PN15" s="132"/>
      <c r="PO15" s="132"/>
      <c r="PP15" s="132"/>
      <c r="PQ15" s="132"/>
      <c r="PR15" s="132"/>
      <c r="PS15" s="132"/>
      <c r="PT15" s="132"/>
      <c r="PU15" s="132"/>
      <c r="PV15" s="132"/>
      <c r="PW15" s="132"/>
      <c r="PX15" s="132"/>
      <c r="PY15" s="132"/>
      <c r="PZ15" s="132"/>
      <c r="QA15" s="132"/>
      <c r="QB15" s="132"/>
      <c r="QC15" s="132"/>
      <c r="QD15" s="132"/>
      <c r="QE15" s="132"/>
      <c r="QF15" s="132"/>
      <c r="QG15" s="132"/>
      <c r="QH15" s="132"/>
      <c r="QI15" s="132"/>
      <c r="QJ15" s="132"/>
      <c r="QK15" s="132"/>
      <c r="QL15" s="132"/>
      <c r="QM15" s="132"/>
      <c r="QN15" s="132"/>
      <c r="QO15" s="132"/>
      <c r="QP15" s="132"/>
      <c r="QQ15" s="132"/>
      <c r="QR15" s="132"/>
      <c r="QS15" s="132"/>
      <c r="QT15" s="132"/>
      <c r="QU15" s="132"/>
      <c r="QV15" s="132"/>
      <c r="QW15" s="132"/>
      <c r="QX15" s="132"/>
      <c r="QY15" s="132"/>
      <c r="QZ15" s="132"/>
      <c r="RA15" s="132"/>
      <c r="RB15" s="132"/>
      <c r="RC15" s="132"/>
      <c r="RD15" s="132"/>
      <c r="RE15" s="132"/>
      <c r="RF15" s="132"/>
      <c r="RG15" s="132"/>
      <c r="RH15" s="132"/>
      <c r="RI15" s="132"/>
      <c r="RJ15" s="132"/>
      <c r="RK15" s="132"/>
      <c r="RL15" s="132"/>
      <c r="RM15" s="132"/>
      <c r="RN15" s="132"/>
      <c r="RO15" s="132"/>
      <c r="RP15" s="132"/>
      <c r="RQ15" s="132"/>
      <c r="RR15" s="132"/>
      <c r="RS15" s="132"/>
      <c r="RT15" s="132"/>
      <c r="RU15" s="132"/>
      <c r="RV15" s="132"/>
      <c r="RW15" s="132"/>
      <c r="RX15" s="132"/>
      <c r="RY15" s="132"/>
      <c r="RZ15" s="132"/>
      <c r="SA15" s="132"/>
      <c r="SB15" s="132"/>
      <c r="SC15" s="132"/>
      <c r="SD15" s="132"/>
      <c r="SE15" s="132"/>
      <c r="SF15" s="132"/>
      <c r="SG15" s="132"/>
      <c r="SH15" s="132"/>
      <c r="SI15" s="132"/>
      <c r="SJ15" s="132"/>
      <c r="SK15" s="132"/>
      <c r="SL15" s="132"/>
      <c r="SM15" s="132"/>
      <c r="SN15" s="132"/>
      <c r="SO15" s="132"/>
      <c r="SP15" s="132"/>
      <c r="SQ15" s="132"/>
      <c r="SR15" s="132"/>
      <c r="SS15" s="132"/>
      <c r="ST15" s="132"/>
      <c r="SU15" s="132"/>
      <c r="SV15" s="132"/>
      <c r="SW15" s="132"/>
      <c r="SX15" s="132"/>
      <c r="SY15" s="132"/>
      <c r="SZ15" s="132"/>
      <c r="TA15" s="132"/>
      <c r="TB15" s="132"/>
      <c r="TC15" s="132"/>
      <c r="TD15" s="132"/>
      <c r="TE15" s="132"/>
      <c r="TF15" s="132"/>
      <c r="TG15" s="132"/>
      <c r="TH15" s="132"/>
      <c r="TI15" s="132"/>
      <c r="TJ15" s="132"/>
      <c r="TK15" s="132"/>
      <c r="TL15" s="132"/>
      <c r="TM15" s="132"/>
      <c r="TN15" s="132"/>
      <c r="TO15" s="132"/>
      <c r="TP15" s="132"/>
      <c r="TQ15" s="132"/>
      <c r="TR15" s="132"/>
      <c r="TS15" s="132"/>
      <c r="TT15" s="132"/>
      <c r="TU15" s="132"/>
      <c r="TV15" s="132"/>
      <c r="TW15" s="132"/>
      <c r="TX15" s="132"/>
      <c r="TY15" s="132"/>
      <c r="TZ15" s="132"/>
      <c r="UA15" s="132"/>
      <c r="UB15" s="132"/>
      <c r="UC15" s="132"/>
      <c r="UD15" s="132"/>
      <c r="UE15" s="132"/>
      <c r="UF15" s="132"/>
      <c r="UG15" s="132"/>
      <c r="UH15" s="132"/>
      <c r="UI15" s="132"/>
      <c r="UJ15" s="132"/>
      <c r="UK15" s="132"/>
      <c r="UL15" s="132"/>
      <c r="UM15" s="132"/>
      <c r="UN15" s="132"/>
      <c r="UO15" s="132"/>
      <c r="UP15" s="132"/>
      <c r="UQ15" s="132"/>
      <c r="UR15" s="132"/>
      <c r="US15" s="132"/>
      <c r="UT15" s="132"/>
      <c r="UU15" s="132"/>
      <c r="UV15" s="132"/>
      <c r="UW15" s="132"/>
      <c r="UX15" s="132"/>
      <c r="UY15" s="132"/>
      <c r="UZ15" s="132"/>
      <c r="VA15" s="132"/>
      <c r="VB15" s="132"/>
      <c r="VC15" s="132"/>
      <c r="VD15" s="132"/>
      <c r="VE15" s="132"/>
      <c r="VF15" s="132"/>
      <c r="VG15" s="132"/>
      <c r="VH15" s="132"/>
      <c r="VI15" s="132"/>
      <c r="VJ15" s="132"/>
      <c r="VK15" s="132"/>
      <c r="VL15" s="132"/>
      <c r="VM15" s="132"/>
      <c r="VN15" s="132"/>
      <c r="VO15" s="132"/>
      <c r="VP15" s="132"/>
      <c r="VQ15" s="132"/>
      <c r="VR15" s="132"/>
      <c r="VS15" s="132"/>
      <c r="VT15" s="132"/>
      <c r="VU15" s="132"/>
      <c r="VV15" s="132"/>
      <c r="VW15" s="132"/>
      <c r="VX15" s="132"/>
      <c r="VY15" s="132"/>
      <c r="VZ15" s="132"/>
      <c r="WA15" s="132"/>
      <c r="WB15" s="132"/>
      <c r="WC15" s="132"/>
      <c r="WD15" s="132"/>
      <c r="WE15" s="132"/>
      <c r="WF15" s="132"/>
      <c r="WG15" s="132"/>
      <c r="WH15" s="132"/>
      <c r="WI15" s="132"/>
      <c r="WJ15" s="132"/>
      <c r="WK15" s="132"/>
      <c r="WL15" s="132"/>
      <c r="WM15" s="132"/>
      <c r="WN15" s="132"/>
      <c r="WO15" s="132"/>
    </row>
    <row r="16" spans="1:613" s="16" customFormat="1" ht="55.5" customHeight="1" thickBot="1">
      <c r="A16" s="100">
        <v>3</v>
      </c>
      <c r="B16" s="116" t="s">
        <v>2449</v>
      </c>
      <c r="C16" s="100">
        <v>24</v>
      </c>
      <c r="D16" s="116" t="s">
        <v>2450</v>
      </c>
      <c r="E16" s="100">
        <v>2409</v>
      </c>
      <c r="F16" s="475" t="s">
        <v>2451</v>
      </c>
      <c r="G16" s="100" t="s">
        <v>2477</v>
      </c>
      <c r="H16" s="386" t="s">
        <v>2478</v>
      </c>
      <c r="I16" s="358" t="s">
        <v>2479</v>
      </c>
      <c r="J16" s="503" t="s">
        <v>2480</v>
      </c>
      <c r="K16" s="385">
        <v>1</v>
      </c>
      <c r="L16" s="385"/>
      <c r="M16" s="385">
        <f t="shared" si="0"/>
        <v>1</v>
      </c>
      <c r="N16" s="114">
        <v>2024003630018</v>
      </c>
      <c r="O16" s="127" t="s">
        <v>2454</v>
      </c>
      <c r="P16" s="127" t="s">
        <v>2481</v>
      </c>
      <c r="Q16" s="130">
        <v>11200000</v>
      </c>
      <c r="R16" s="129"/>
      <c r="S16" s="130"/>
      <c r="T16" s="130"/>
      <c r="U16" s="130">
        <v>11200000</v>
      </c>
      <c r="V16" s="357" t="s">
        <v>2482</v>
      </c>
      <c r="W16" s="357">
        <v>1</v>
      </c>
      <c r="X16" s="477" t="s">
        <v>2457</v>
      </c>
      <c r="Y16" s="500">
        <v>56377</v>
      </c>
      <c r="Z16" s="500">
        <v>56570</v>
      </c>
      <c r="AA16" s="500">
        <v>21068</v>
      </c>
      <c r="AB16" s="500">
        <v>7295</v>
      </c>
      <c r="AC16" s="501">
        <v>61732</v>
      </c>
      <c r="AD16" s="500">
        <v>22852</v>
      </c>
      <c r="AE16" s="500">
        <v>457</v>
      </c>
      <c r="AF16" s="500">
        <v>660</v>
      </c>
      <c r="AG16" s="500">
        <v>2</v>
      </c>
      <c r="AH16" s="500">
        <v>1</v>
      </c>
      <c r="AI16" s="500">
        <v>0</v>
      </c>
      <c r="AJ16" s="504">
        <v>0</v>
      </c>
      <c r="AK16" s="504">
        <v>0</v>
      </c>
      <c r="AL16" s="504">
        <v>0</v>
      </c>
      <c r="AM16" s="504">
        <v>0</v>
      </c>
      <c r="AN16" s="481">
        <f t="shared" si="1"/>
        <v>112947</v>
      </c>
      <c r="AO16" s="482">
        <v>46067</v>
      </c>
      <c r="AP16" s="483">
        <v>46387</v>
      </c>
      <c r="AQ16" s="484" t="s">
        <v>2458</v>
      </c>
      <c r="AR16" s="8"/>
      <c r="AS16" s="8"/>
      <c r="AT16" s="8"/>
      <c r="AU16" s="8"/>
      <c r="AV16" s="8"/>
      <c r="AW16" s="8"/>
      <c r="AX16" s="8"/>
      <c r="AY16" s="8"/>
      <c r="AZ16" s="8"/>
      <c r="BA16" s="8"/>
      <c r="BB16" s="8"/>
      <c r="BC16" s="8"/>
      <c r="BD16" s="8"/>
      <c r="BE16" s="8"/>
      <c r="BF16" s="8"/>
    </row>
    <row r="17" spans="1:58" s="16" customFormat="1" ht="55.5" customHeight="1" thickBot="1">
      <c r="A17" s="100">
        <v>3</v>
      </c>
      <c r="B17" s="116" t="s">
        <v>2449</v>
      </c>
      <c r="C17" s="100">
        <v>24</v>
      </c>
      <c r="D17" s="116" t="s">
        <v>2450</v>
      </c>
      <c r="E17" s="100">
        <v>2409</v>
      </c>
      <c r="F17" s="475" t="s">
        <v>2451</v>
      </c>
      <c r="G17" s="100" t="s">
        <v>2477</v>
      </c>
      <c r="H17" s="386" t="s">
        <v>2478</v>
      </c>
      <c r="I17" s="358" t="s">
        <v>2483</v>
      </c>
      <c r="J17" s="503" t="s">
        <v>2484</v>
      </c>
      <c r="K17" s="385">
        <v>1</v>
      </c>
      <c r="L17" s="385"/>
      <c r="M17" s="385">
        <f t="shared" si="0"/>
        <v>1</v>
      </c>
      <c r="N17" s="114">
        <v>2024003630018</v>
      </c>
      <c r="O17" s="127" t="s">
        <v>2454</v>
      </c>
      <c r="P17" s="145" t="s">
        <v>2485</v>
      </c>
      <c r="Q17" s="130">
        <v>11200000</v>
      </c>
      <c r="R17" s="129"/>
      <c r="S17" s="130"/>
      <c r="T17" s="130"/>
      <c r="U17" s="130">
        <v>11200000</v>
      </c>
      <c r="V17" s="357" t="s">
        <v>2486</v>
      </c>
      <c r="W17" s="357">
        <v>1</v>
      </c>
      <c r="X17" s="477" t="s">
        <v>2457</v>
      </c>
      <c r="Y17" s="500">
        <v>56377</v>
      </c>
      <c r="Z17" s="500">
        <v>56570</v>
      </c>
      <c r="AA17" s="500">
        <v>21068</v>
      </c>
      <c r="AB17" s="500">
        <v>7295</v>
      </c>
      <c r="AC17" s="501">
        <v>61732</v>
      </c>
      <c r="AD17" s="500">
        <v>22852</v>
      </c>
      <c r="AE17" s="500">
        <v>457</v>
      </c>
      <c r="AF17" s="500">
        <v>660</v>
      </c>
      <c r="AG17" s="500">
        <v>2</v>
      </c>
      <c r="AH17" s="500">
        <v>1</v>
      </c>
      <c r="AI17" s="500">
        <v>0</v>
      </c>
      <c r="AJ17" s="504">
        <v>0</v>
      </c>
      <c r="AK17" s="504">
        <v>0</v>
      </c>
      <c r="AL17" s="504">
        <v>0</v>
      </c>
      <c r="AM17" s="504">
        <v>0</v>
      </c>
      <c r="AN17" s="481">
        <f t="shared" si="1"/>
        <v>112947</v>
      </c>
      <c r="AO17" s="482">
        <v>46067</v>
      </c>
      <c r="AP17" s="483">
        <v>46387</v>
      </c>
      <c r="AQ17" s="484" t="s">
        <v>2458</v>
      </c>
      <c r="AR17" s="8"/>
      <c r="AS17" s="8"/>
      <c r="AT17" s="8"/>
      <c r="AU17" s="8"/>
      <c r="AV17" s="8"/>
      <c r="AW17" s="8"/>
      <c r="AX17" s="8"/>
      <c r="AY17" s="8"/>
      <c r="AZ17" s="8"/>
      <c r="BA17" s="8"/>
      <c r="BB17" s="8"/>
      <c r="BC17" s="8"/>
      <c r="BD17" s="8"/>
      <c r="BE17" s="8"/>
      <c r="BF17" s="8"/>
    </row>
    <row r="18" spans="1:58" s="16" customFormat="1" ht="55.5" customHeight="1" thickBot="1">
      <c r="A18" s="100">
        <v>3</v>
      </c>
      <c r="B18" s="116" t="s">
        <v>2449</v>
      </c>
      <c r="C18" s="100">
        <v>24</v>
      </c>
      <c r="D18" s="116" t="s">
        <v>2450</v>
      </c>
      <c r="E18" s="100">
        <v>2409</v>
      </c>
      <c r="F18" s="475" t="s">
        <v>2451</v>
      </c>
      <c r="G18" s="100" t="s">
        <v>2487</v>
      </c>
      <c r="H18" s="386" t="s">
        <v>2488</v>
      </c>
      <c r="I18" s="358">
        <v>240901400</v>
      </c>
      <c r="J18" s="476" t="s">
        <v>2489</v>
      </c>
      <c r="K18" s="358">
        <v>1</v>
      </c>
      <c r="L18" s="358"/>
      <c r="M18" s="358">
        <f t="shared" si="0"/>
        <v>1</v>
      </c>
      <c r="N18" s="114">
        <v>2024003630018</v>
      </c>
      <c r="O18" s="127" t="s">
        <v>2454</v>
      </c>
      <c r="P18" s="362" t="s">
        <v>2490</v>
      </c>
      <c r="Q18" s="130">
        <v>3000000</v>
      </c>
      <c r="R18" s="129"/>
      <c r="S18" s="130"/>
      <c r="T18" s="130"/>
      <c r="U18" s="130">
        <v>3000000</v>
      </c>
      <c r="V18" s="357" t="s">
        <v>2491</v>
      </c>
      <c r="W18" s="357">
        <v>1</v>
      </c>
      <c r="X18" s="477" t="s">
        <v>2457</v>
      </c>
      <c r="Y18" s="479">
        <v>56377</v>
      </c>
      <c r="Z18" s="479">
        <v>56570</v>
      </c>
      <c r="AA18" s="479">
        <v>21068</v>
      </c>
      <c r="AB18" s="479">
        <v>7295</v>
      </c>
      <c r="AC18" s="352">
        <v>61732</v>
      </c>
      <c r="AD18" s="479">
        <v>22852</v>
      </c>
      <c r="AE18" s="479">
        <v>457</v>
      </c>
      <c r="AF18" s="479">
        <v>660</v>
      </c>
      <c r="AG18" s="479">
        <v>2</v>
      </c>
      <c r="AH18" s="479">
        <v>1</v>
      </c>
      <c r="AI18" s="479">
        <v>0</v>
      </c>
      <c r="AJ18" s="480">
        <v>0</v>
      </c>
      <c r="AK18" s="480">
        <v>0</v>
      </c>
      <c r="AL18" s="480">
        <v>0</v>
      </c>
      <c r="AM18" s="480">
        <v>0</v>
      </c>
      <c r="AN18" s="481">
        <f t="shared" si="1"/>
        <v>112947</v>
      </c>
      <c r="AO18" s="482">
        <v>46067</v>
      </c>
      <c r="AP18" s="483">
        <v>46387</v>
      </c>
      <c r="AQ18" s="484" t="s">
        <v>2458</v>
      </c>
      <c r="AR18" s="8"/>
      <c r="AS18" s="8"/>
      <c r="AT18" s="8"/>
      <c r="AU18" s="8"/>
      <c r="AV18" s="8"/>
      <c r="AW18" s="8"/>
      <c r="AX18" s="8"/>
      <c r="AY18" s="8"/>
      <c r="AZ18" s="8"/>
      <c r="BA18" s="8"/>
      <c r="BB18" s="8"/>
      <c r="BC18" s="8"/>
      <c r="BD18" s="8"/>
      <c r="BE18" s="8"/>
      <c r="BF18" s="8"/>
    </row>
    <row r="19" spans="1:58" s="16" customFormat="1" ht="55.5" customHeight="1" thickBot="1">
      <c r="A19" s="100">
        <v>3</v>
      </c>
      <c r="B19" s="116" t="s">
        <v>2449</v>
      </c>
      <c r="C19" s="100">
        <v>24</v>
      </c>
      <c r="D19" s="116" t="s">
        <v>2450</v>
      </c>
      <c r="E19" s="100">
        <v>2409</v>
      </c>
      <c r="F19" s="475" t="s">
        <v>2451</v>
      </c>
      <c r="G19" s="100" t="s">
        <v>2487</v>
      </c>
      <c r="H19" s="386" t="s">
        <v>2488</v>
      </c>
      <c r="I19" s="358">
        <v>240901400</v>
      </c>
      <c r="J19" s="476" t="s">
        <v>2489</v>
      </c>
      <c r="K19" s="358">
        <v>1</v>
      </c>
      <c r="L19" s="358"/>
      <c r="M19" s="358">
        <f t="shared" si="0"/>
        <v>1</v>
      </c>
      <c r="N19" s="114">
        <v>2024003630018</v>
      </c>
      <c r="O19" s="127" t="s">
        <v>2454</v>
      </c>
      <c r="P19" s="270" t="s">
        <v>2492</v>
      </c>
      <c r="Q19" s="130">
        <v>8000000</v>
      </c>
      <c r="R19" s="129"/>
      <c r="S19" s="130"/>
      <c r="T19" s="130"/>
      <c r="U19" s="130">
        <v>8000000</v>
      </c>
      <c r="V19" s="357" t="s">
        <v>2491</v>
      </c>
      <c r="W19" s="357">
        <v>1</v>
      </c>
      <c r="X19" s="499" t="s">
        <v>2457</v>
      </c>
      <c r="Y19" s="500">
        <v>56377</v>
      </c>
      <c r="Z19" s="500">
        <v>56570</v>
      </c>
      <c r="AA19" s="500">
        <v>21068</v>
      </c>
      <c r="AB19" s="500">
        <v>7295</v>
      </c>
      <c r="AC19" s="501">
        <v>61732</v>
      </c>
      <c r="AD19" s="500">
        <v>22852</v>
      </c>
      <c r="AE19" s="500">
        <v>457</v>
      </c>
      <c r="AF19" s="500">
        <v>660</v>
      </c>
      <c r="AG19" s="500">
        <v>2</v>
      </c>
      <c r="AH19" s="500">
        <v>1</v>
      </c>
      <c r="AI19" s="500">
        <v>0</v>
      </c>
      <c r="AJ19" s="504">
        <v>0</v>
      </c>
      <c r="AK19" s="504">
        <v>0</v>
      </c>
      <c r="AL19" s="504">
        <v>0</v>
      </c>
      <c r="AM19" s="504">
        <v>0</v>
      </c>
      <c r="AN19" s="481">
        <f t="shared" si="1"/>
        <v>112947</v>
      </c>
      <c r="AO19" s="482">
        <v>46067</v>
      </c>
      <c r="AP19" s="483">
        <v>46387</v>
      </c>
      <c r="AQ19" s="484" t="s">
        <v>2458</v>
      </c>
      <c r="AR19" s="8"/>
      <c r="AS19" s="8"/>
      <c r="AT19" s="8"/>
      <c r="AU19" s="8"/>
      <c r="AV19" s="8"/>
      <c r="AW19" s="8"/>
      <c r="AX19" s="8"/>
      <c r="AY19" s="8"/>
      <c r="AZ19" s="8"/>
      <c r="BA19" s="8"/>
      <c r="BB19" s="8"/>
      <c r="BC19" s="8"/>
      <c r="BD19" s="8"/>
      <c r="BE19" s="8"/>
      <c r="BF19" s="8"/>
    </row>
    <row r="20" spans="1:58" s="16" customFormat="1" ht="55.5" customHeight="1" thickBot="1">
      <c r="A20" s="100">
        <v>3</v>
      </c>
      <c r="B20" s="116" t="s">
        <v>2449</v>
      </c>
      <c r="C20" s="100">
        <v>24</v>
      </c>
      <c r="D20" s="116" t="s">
        <v>2450</v>
      </c>
      <c r="E20" s="100">
        <v>2409</v>
      </c>
      <c r="F20" s="475" t="s">
        <v>2451</v>
      </c>
      <c r="G20" s="100" t="s">
        <v>2487</v>
      </c>
      <c r="H20" s="386" t="s">
        <v>2488</v>
      </c>
      <c r="I20" s="358">
        <v>240901400</v>
      </c>
      <c r="J20" s="476" t="s">
        <v>2489</v>
      </c>
      <c r="K20" s="358">
        <v>1</v>
      </c>
      <c r="L20" s="358"/>
      <c r="M20" s="358">
        <f t="shared" si="0"/>
        <v>1</v>
      </c>
      <c r="N20" s="114">
        <v>2024003630018</v>
      </c>
      <c r="O20" s="127" t="s">
        <v>2454</v>
      </c>
      <c r="P20" s="268" t="s">
        <v>2493</v>
      </c>
      <c r="Q20" s="130">
        <v>8000000</v>
      </c>
      <c r="R20" s="129"/>
      <c r="S20" s="130"/>
      <c r="T20" s="130"/>
      <c r="U20" s="130">
        <v>8000000</v>
      </c>
      <c r="V20" s="357" t="s">
        <v>2491</v>
      </c>
      <c r="W20" s="357">
        <v>1</v>
      </c>
      <c r="X20" s="499" t="s">
        <v>2457</v>
      </c>
      <c r="Y20" s="500">
        <v>56377</v>
      </c>
      <c r="Z20" s="500">
        <v>56570</v>
      </c>
      <c r="AA20" s="500">
        <v>21068</v>
      </c>
      <c r="AB20" s="500">
        <v>7295</v>
      </c>
      <c r="AC20" s="501">
        <v>61732</v>
      </c>
      <c r="AD20" s="500">
        <v>22852</v>
      </c>
      <c r="AE20" s="500">
        <v>457</v>
      </c>
      <c r="AF20" s="500">
        <v>660</v>
      </c>
      <c r="AG20" s="500">
        <v>2</v>
      </c>
      <c r="AH20" s="500">
        <v>1</v>
      </c>
      <c r="AI20" s="500">
        <v>0</v>
      </c>
      <c r="AJ20" s="504">
        <v>0</v>
      </c>
      <c r="AK20" s="504">
        <v>0</v>
      </c>
      <c r="AL20" s="504">
        <v>0</v>
      </c>
      <c r="AM20" s="504">
        <v>0</v>
      </c>
      <c r="AN20" s="481">
        <f t="shared" si="1"/>
        <v>112947</v>
      </c>
      <c r="AO20" s="482">
        <v>46067</v>
      </c>
      <c r="AP20" s="483">
        <v>46387</v>
      </c>
      <c r="AQ20" s="484" t="s">
        <v>2458</v>
      </c>
      <c r="AR20" s="8"/>
      <c r="AS20" s="8"/>
      <c r="AT20" s="8"/>
      <c r="AU20" s="8"/>
      <c r="AV20" s="8"/>
      <c r="AW20" s="8"/>
      <c r="AX20" s="8"/>
      <c r="AY20" s="8"/>
      <c r="AZ20" s="8"/>
      <c r="BA20" s="8"/>
      <c r="BB20" s="8"/>
      <c r="BC20" s="8"/>
      <c r="BD20" s="8"/>
      <c r="BE20" s="8"/>
      <c r="BF20" s="8"/>
    </row>
    <row r="21" spans="1:58" s="16" customFormat="1" ht="60.75" customHeight="1" thickBot="1">
      <c r="A21" s="100">
        <v>3</v>
      </c>
      <c r="B21" s="116" t="s">
        <v>2449</v>
      </c>
      <c r="C21" s="100">
        <v>24</v>
      </c>
      <c r="D21" s="116" t="s">
        <v>2450</v>
      </c>
      <c r="E21" s="100">
        <v>2409</v>
      </c>
      <c r="F21" s="475" t="s">
        <v>2451</v>
      </c>
      <c r="G21" s="100" t="s">
        <v>2487</v>
      </c>
      <c r="H21" s="386" t="s">
        <v>2488</v>
      </c>
      <c r="I21" s="358">
        <v>240901400</v>
      </c>
      <c r="J21" s="476" t="s">
        <v>2489</v>
      </c>
      <c r="K21" s="358">
        <v>1</v>
      </c>
      <c r="L21" s="358"/>
      <c r="M21" s="358">
        <f t="shared" si="0"/>
        <v>1</v>
      </c>
      <c r="N21" s="114">
        <v>2024003630018</v>
      </c>
      <c r="O21" s="127" t="s">
        <v>2454</v>
      </c>
      <c r="P21" s="268" t="s">
        <v>2494</v>
      </c>
      <c r="Q21" s="130">
        <v>8000000</v>
      </c>
      <c r="R21" s="129"/>
      <c r="S21" s="130"/>
      <c r="T21" s="130"/>
      <c r="U21" s="130">
        <v>8000000</v>
      </c>
      <c r="V21" s="357" t="s">
        <v>2491</v>
      </c>
      <c r="W21" s="357">
        <v>1</v>
      </c>
      <c r="X21" s="499" t="s">
        <v>2457</v>
      </c>
      <c r="Y21" s="500">
        <v>56377</v>
      </c>
      <c r="Z21" s="500">
        <v>56570</v>
      </c>
      <c r="AA21" s="500">
        <v>21068</v>
      </c>
      <c r="AB21" s="500">
        <v>7295</v>
      </c>
      <c r="AC21" s="501">
        <v>61732</v>
      </c>
      <c r="AD21" s="500">
        <v>22852</v>
      </c>
      <c r="AE21" s="500">
        <v>457</v>
      </c>
      <c r="AF21" s="500">
        <v>660</v>
      </c>
      <c r="AG21" s="500">
        <v>2</v>
      </c>
      <c r="AH21" s="500">
        <v>1</v>
      </c>
      <c r="AI21" s="500">
        <v>0</v>
      </c>
      <c r="AJ21" s="504">
        <v>0</v>
      </c>
      <c r="AK21" s="504">
        <v>0</v>
      </c>
      <c r="AL21" s="504">
        <v>0</v>
      </c>
      <c r="AM21" s="504">
        <v>0</v>
      </c>
      <c r="AN21" s="481">
        <f t="shared" si="1"/>
        <v>112947</v>
      </c>
      <c r="AO21" s="482">
        <v>46067</v>
      </c>
      <c r="AP21" s="483">
        <v>46387</v>
      </c>
      <c r="AQ21" s="484" t="s">
        <v>2458</v>
      </c>
      <c r="AR21" s="8"/>
      <c r="AS21" s="8"/>
      <c r="AT21" s="8"/>
      <c r="AU21" s="8"/>
      <c r="AV21" s="8"/>
      <c r="AW21" s="8"/>
      <c r="AX21" s="8"/>
      <c r="AY21" s="8"/>
      <c r="AZ21" s="8"/>
      <c r="BA21" s="8"/>
      <c r="BB21" s="8"/>
      <c r="BC21" s="8"/>
      <c r="BD21" s="8"/>
      <c r="BE21" s="8"/>
      <c r="BF21" s="8"/>
    </row>
    <row r="22" spans="1:58" s="17" customFormat="1" ht="16.5" thickBot="1">
      <c r="A22" s="505"/>
      <c r="B22" s="506"/>
      <c r="C22" s="506"/>
      <c r="D22" s="506"/>
      <c r="E22" s="506"/>
      <c r="F22" s="506"/>
      <c r="G22" s="506"/>
      <c r="H22" s="506"/>
      <c r="I22" s="506"/>
      <c r="J22" s="506"/>
      <c r="K22" s="506"/>
      <c r="L22" s="506"/>
      <c r="M22" s="506"/>
      <c r="N22" s="506"/>
      <c r="O22" s="506"/>
      <c r="P22" s="507"/>
      <c r="Q22" s="508">
        <f>SUM(Q10:Q21)</f>
        <v>313000000</v>
      </c>
      <c r="R22" s="509"/>
      <c r="S22" s="509"/>
      <c r="T22" s="509"/>
      <c r="U22" s="509">
        <f>SUM(U10:U21)</f>
        <v>313000000</v>
      </c>
      <c r="V22" s="506"/>
      <c r="W22" s="506"/>
      <c r="X22" s="506"/>
      <c r="Y22" s="506"/>
      <c r="Z22" s="506"/>
      <c r="AA22" s="506"/>
      <c r="AB22" s="506"/>
      <c r="AC22" s="506"/>
      <c r="AD22" s="506"/>
      <c r="AE22" s="506"/>
      <c r="AF22" s="506"/>
      <c r="AG22" s="506"/>
      <c r="AH22" s="506"/>
      <c r="AI22" s="506"/>
      <c r="AJ22" s="506"/>
      <c r="AK22" s="506"/>
      <c r="AL22" s="506"/>
      <c r="AM22" s="506"/>
      <c r="AN22" s="506"/>
      <c r="AO22" s="506"/>
      <c r="AP22" s="506"/>
      <c r="AQ22" s="510"/>
    </row>
    <row r="23" spans="1:58" s="17" customFormat="1" ht="14.25">
      <c r="W23" s="18"/>
      <c r="X23" s="18"/>
    </row>
    <row r="24" spans="1:58" s="17" customFormat="1" ht="14.25">
      <c r="W24" s="18"/>
      <c r="X24" s="18"/>
    </row>
    <row r="25" spans="1:58" s="17" customFormat="1" ht="14.25">
      <c r="W25" s="18"/>
      <c r="X25" s="18"/>
    </row>
    <row r="26" spans="1:58" s="17" customFormat="1" ht="14.25">
      <c r="W26" s="18"/>
      <c r="X26" s="18"/>
    </row>
    <row r="27" spans="1:58" s="17" customFormat="1">
      <c r="K27" s="980" t="s">
        <v>2495</v>
      </c>
      <c r="L27" s="980"/>
      <c r="M27" s="980"/>
      <c r="N27" s="980"/>
      <c r="O27" s="980"/>
      <c r="P27" s="980"/>
      <c r="Q27" s="980"/>
      <c r="R27" s="37"/>
      <c r="S27" s="31"/>
      <c r="T27" s="31"/>
      <c r="U27" s="31"/>
      <c r="W27" s="18"/>
      <c r="X27" s="18"/>
    </row>
    <row r="28" spans="1:58">
      <c r="K28" s="981" t="s">
        <v>2496</v>
      </c>
      <c r="L28" s="981"/>
      <c r="M28" s="981"/>
      <c r="N28" s="981"/>
      <c r="O28" s="981"/>
      <c r="P28" s="981"/>
      <c r="Q28" s="981"/>
      <c r="R28" s="38"/>
      <c r="S28" s="964"/>
      <c r="T28" s="964"/>
      <c r="U28" s="964"/>
    </row>
    <row r="29" spans="1:58">
      <c r="A29" s="17"/>
      <c r="B29" s="17"/>
      <c r="C29" s="17"/>
      <c r="D29" s="17"/>
      <c r="E29" s="17"/>
      <c r="F29" s="17"/>
      <c r="G29" s="17"/>
      <c r="H29" s="17"/>
      <c r="I29" s="17"/>
      <c r="J29" s="17"/>
      <c r="K29" s="17"/>
      <c r="L29" s="17"/>
      <c r="M29" s="17"/>
      <c r="N29" s="17"/>
      <c r="O29" s="17"/>
      <c r="P29" s="17"/>
      <c r="Q29" s="17"/>
      <c r="R29" s="17"/>
      <c r="S29" s="17"/>
      <c r="T29" s="17"/>
      <c r="U29" s="17"/>
      <c r="V29" s="17"/>
      <c r="W29" s="18"/>
      <c r="X29" s="18"/>
      <c r="Y29" s="17"/>
      <c r="Z29" s="17"/>
      <c r="AA29" s="17"/>
      <c r="AB29" s="17"/>
      <c r="AC29" s="17"/>
      <c r="AD29" s="17"/>
      <c r="AE29" s="17"/>
      <c r="AF29" s="17"/>
      <c r="AG29" s="17"/>
      <c r="AH29" s="17"/>
      <c r="AI29" s="17"/>
      <c r="AJ29" s="17"/>
      <c r="AK29" s="17"/>
      <c r="AL29" s="17"/>
      <c r="AM29" s="17"/>
      <c r="AN29" s="17"/>
      <c r="AO29" s="17"/>
      <c r="AP29" s="17"/>
      <c r="AQ29" s="17"/>
      <c r="AR29" s="17"/>
    </row>
    <row r="30" spans="1:58">
      <c r="A30" s="17"/>
      <c r="B30" s="17"/>
      <c r="C30" s="17"/>
      <c r="D30" s="17"/>
      <c r="E30" s="17"/>
      <c r="F30" s="17"/>
      <c r="G30" s="17"/>
      <c r="H30" s="17"/>
      <c r="I30" s="17"/>
      <c r="J30" s="17"/>
      <c r="K30" s="17"/>
      <c r="L30" s="17"/>
      <c r="M30" s="17"/>
      <c r="N30" s="17"/>
      <c r="O30" s="17"/>
      <c r="P30" s="17"/>
      <c r="Q30" s="17"/>
      <c r="R30" s="17"/>
      <c r="S30" s="17"/>
      <c r="T30" s="17"/>
      <c r="U30" s="17"/>
      <c r="V30" s="17"/>
      <c r="W30" s="18"/>
      <c r="X30" s="18"/>
      <c r="Y30" s="17"/>
      <c r="Z30" s="17"/>
      <c r="AA30" s="17"/>
      <c r="AB30" s="17"/>
      <c r="AC30" s="17"/>
      <c r="AD30" s="17"/>
      <c r="AE30" s="17"/>
      <c r="AF30" s="17"/>
      <c r="AG30" s="17"/>
      <c r="AH30" s="17"/>
      <c r="AI30" s="17"/>
      <c r="AJ30" s="17"/>
      <c r="AK30" s="17"/>
      <c r="AL30" s="17"/>
      <c r="AM30" s="17"/>
      <c r="AN30" s="17"/>
      <c r="AO30" s="17"/>
      <c r="AP30" s="17"/>
      <c r="AQ30" s="17"/>
      <c r="AR30" s="17"/>
    </row>
    <row r="31" spans="1:58">
      <c r="A31" s="17"/>
      <c r="B31" s="17"/>
      <c r="C31" s="17"/>
      <c r="D31" s="17"/>
      <c r="E31" s="17"/>
      <c r="F31" s="17"/>
      <c r="G31" s="979" t="s">
        <v>108</v>
      </c>
      <c r="H31" s="979"/>
      <c r="I31" s="982" t="s">
        <v>109</v>
      </c>
      <c r="J31" s="983"/>
      <c r="K31" s="984" t="s">
        <v>110</v>
      </c>
      <c r="L31" s="985"/>
      <c r="M31" s="985"/>
      <c r="N31" s="986"/>
      <c r="O31" s="17"/>
      <c r="P31" s="17"/>
      <c r="Q31" s="17"/>
      <c r="R31" s="17"/>
      <c r="S31" s="17"/>
      <c r="T31" s="17"/>
      <c r="U31" s="17"/>
      <c r="V31" s="17"/>
      <c r="W31" s="18"/>
      <c r="X31" s="18"/>
      <c r="Y31" s="17"/>
      <c r="Z31" s="17"/>
      <c r="AA31" s="17"/>
      <c r="AB31" s="17"/>
      <c r="AC31" s="17"/>
      <c r="AD31" s="17"/>
      <c r="AE31" s="17"/>
      <c r="AF31" s="17"/>
      <c r="AG31" s="17"/>
      <c r="AH31" s="17"/>
      <c r="AI31" s="17"/>
      <c r="AJ31" s="17"/>
      <c r="AK31" s="17"/>
      <c r="AL31" s="17"/>
      <c r="AM31" s="17"/>
      <c r="AN31" s="17"/>
      <c r="AO31" s="17"/>
      <c r="AP31" s="17"/>
      <c r="AQ31" s="17"/>
      <c r="AR31" s="17"/>
    </row>
    <row r="32" spans="1:58" ht="31.5" customHeight="1">
      <c r="A32" s="17"/>
      <c r="B32" s="17"/>
      <c r="C32" s="17"/>
      <c r="D32" s="17"/>
      <c r="E32" s="17"/>
      <c r="F32" s="17"/>
      <c r="G32" s="979" t="s">
        <v>111</v>
      </c>
      <c r="H32" s="979"/>
      <c r="I32" s="1017" t="s">
        <v>112</v>
      </c>
      <c r="J32" s="1018"/>
      <c r="K32" s="979" t="s">
        <v>113</v>
      </c>
      <c r="L32" s="979"/>
      <c r="M32" s="979"/>
      <c r="N32" s="979"/>
      <c r="O32" s="17"/>
      <c r="P32" s="17"/>
      <c r="Q32" s="17"/>
      <c r="R32" s="17"/>
      <c r="S32" s="17"/>
      <c r="T32" s="17"/>
      <c r="U32" s="17"/>
      <c r="V32" s="24"/>
      <c r="W32" s="18"/>
      <c r="X32" s="18"/>
      <c r="Y32" s="17"/>
      <c r="Z32" s="17"/>
      <c r="AA32" s="17"/>
      <c r="AB32" s="17"/>
      <c r="AC32" s="17"/>
      <c r="AD32" s="17"/>
      <c r="AE32" s="17"/>
      <c r="AF32" s="17"/>
      <c r="AG32" s="17"/>
      <c r="AH32" s="17"/>
      <c r="AI32" s="17"/>
      <c r="AJ32" s="17"/>
      <c r="AK32" s="17"/>
      <c r="AL32" s="17"/>
      <c r="AM32" s="17"/>
      <c r="AN32" s="17"/>
      <c r="AO32" s="17"/>
      <c r="AP32" s="17"/>
      <c r="AQ32" s="17"/>
      <c r="AR32" s="17"/>
    </row>
    <row r="33" spans="7:14" ht="25.5" customHeight="1">
      <c r="G33" s="979" t="s">
        <v>114</v>
      </c>
      <c r="H33" s="979"/>
      <c r="I33" s="979" t="s">
        <v>115</v>
      </c>
      <c r="J33" s="979"/>
      <c r="K33" s="979" t="s">
        <v>116</v>
      </c>
      <c r="L33" s="979"/>
      <c r="M33" s="979"/>
      <c r="N33" s="979"/>
    </row>
    <row r="34" spans="7:14">
      <c r="G34" s="19"/>
      <c r="H34" s="17"/>
      <c r="I34" s="17"/>
      <c r="J34" s="17"/>
    </row>
  </sheetData>
  <mergeCells count="32">
    <mergeCell ref="G32:H32"/>
    <mergeCell ref="I32:J32"/>
    <mergeCell ref="K32:N32"/>
    <mergeCell ref="G33:H33"/>
    <mergeCell ref="I33:J33"/>
    <mergeCell ref="K33:N33"/>
    <mergeCell ref="K27:Q27"/>
    <mergeCell ref="K28:Q28"/>
    <mergeCell ref="G31:H31"/>
    <mergeCell ref="I31:J31"/>
    <mergeCell ref="K31:N31"/>
    <mergeCell ref="AP7:AP9"/>
    <mergeCell ref="AQ7:AQ9"/>
    <mergeCell ref="V8:X8"/>
    <mergeCell ref="Y8:Z8"/>
    <mergeCell ref="AA8:AD8"/>
    <mergeCell ref="AE8:AJ8"/>
    <mergeCell ref="AK8:AM8"/>
    <mergeCell ref="AN8:AN9"/>
    <mergeCell ref="Y7:AN7"/>
    <mergeCell ref="A1:B6"/>
    <mergeCell ref="C1:AO1"/>
    <mergeCell ref="C2:AO4"/>
    <mergeCell ref="C5:AO6"/>
    <mergeCell ref="A7:B8"/>
    <mergeCell ref="C7:D8"/>
    <mergeCell ref="E7:F8"/>
    <mergeCell ref="G7:H8"/>
    <mergeCell ref="I7:J8"/>
    <mergeCell ref="K7:M8"/>
    <mergeCell ref="AO7:AO9"/>
    <mergeCell ref="N7:Q8"/>
  </mergeCells>
  <pageMargins left="0.25" right="0.25" top="0.75" bottom="0.75" header="0.3" footer="0.3"/>
  <pageSetup scale="22" fitToHeight="6" orientation="portrait"/>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BI79"/>
  <sheetViews>
    <sheetView topLeftCell="G1" zoomScale="70" zoomScaleNormal="70" zoomScaleSheetLayoutView="70" workbookViewId="0">
      <pane ySplit="9" topLeftCell="A46" activePane="bottomLeft" state="frozen"/>
      <selection pane="bottomLeft" activeCell="T64" sqref="T64"/>
    </sheetView>
  </sheetViews>
  <sheetFormatPr defaultColWidth="11.42578125" defaultRowHeight="15" customHeight="1"/>
  <cols>
    <col min="1" max="1" width="12.28515625" customWidth="1"/>
    <col min="2" max="2" width="18.42578125" customWidth="1"/>
    <col min="3" max="3" width="9.42578125" customWidth="1"/>
    <col min="4" max="4" width="11.42578125" customWidth="1"/>
    <col min="5" max="5" width="9.7109375" customWidth="1"/>
    <col min="6" max="6" width="19" customWidth="1"/>
    <col min="7" max="7" width="13.7109375" customWidth="1"/>
    <col min="8" max="8" width="19.140625" customWidth="1"/>
    <col min="9" max="9" width="13.7109375" customWidth="1"/>
    <col min="10" max="10" width="19" customWidth="1"/>
    <col min="11" max="13" width="15.7109375" customWidth="1"/>
    <col min="14" max="14" width="17.42578125" customWidth="1"/>
    <col min="15" max="15" width="40" customWidth="1"/>
    <col min="16" max="16" width="30.42578125" customWidth="1"/>
    <col min="17" max="17" width="22" bestFit="1" customWidth="1"/>
    <col min="18" max="18" width="24.85546875" customWidth="1"/>
    <col min="19" max="19" width="23.42578125" customWidth="1"/>
    <col min="20" max="20" width="22" customWidth="1"/>
    <col min="21" max="21" width="22.140625" customWidth="1"/>
    <col min="22" max="22" width="23.28515625" bestFit="1" customWidth="1"/>
    <col min="23" max="23" width="12" customWidth="1"/>
    <col min="24" max="24" width="17.42578125" customWidth="1"/>
    <col min="25" max="25" width="10.7109375" customWidth="1"/>
    <col min="26" max="26" width="11" customWidth="1"/>
    <col min="27" max="27" width="9.28515625" customWidth="1"/>
    <col min="28" max="28" width="7.42578125" customWidth="1"/>
    <col min="29" max="29" width="9.42578125" customWidth="1"/>
    <col min="30" max="30" width="8.42578125" customWidth="1"/>
    <col min="31" max="31" width="9.42578125" customWidth="1"/>
    <col min="32" max="32" width="8.85546875" customWidth="1"/>
    <col min="33" max="33" width="6.7109375" customWidth="1"/>
    <col min="34" max="34" width="6.42578125" customWidth="1"/>
    <col min="35" max="35" width="6.28515625" customWidth="1"/>
    <col min="36" max="36" width="6.42578125" customWidth="1"/>
    <col min="37" max="37" width="11.7109375" customWidth="1"/>
    <col min="38" max="38" width="10.85546875" customWidth="1"/>
    <col min="39" max="39" width="7.28515625" customWidth="1"/>
    <col min="40" max="40" width="11" customWidth="1"/>
    <col min="41" max="41" width="18.140625" customWidth="1"/>
    <col min="42" max="42" width="16.28515625" customWidth="1"/>
    <col min="43" max="43" width="19.42578125" customWidth="1"/>
  </cols>
  <sheetData>
    <row r="1" spans="1:61">
      <c r="A1" s="1001"/>
      <c r="B1" s="1001"/>
      <c r="C1" s="1002" t="s">
        <v>0</v>
      </c>
      <c r="D1" s="1002"/>
      <c r="E1" s="1002"/>
      <c r="F1" s="1002"/>
      <c r="G1" s="1002"/>
      <c r="H1" s="1002"/>
      <c r="I1" s="1002"/>
      <c r="J1" s="1002"/>
      <c r="K1" s="1002"/>
      <c r="L1" s="1002"/>
      <c r="M1" s="1002"/>
      <c r="N1" s="1002"/>
      <c r="O1" s="1002"/>
      <c r="P1" s="1002"/>
      <c r="Q1" s="1002"/>
      <c r="R1" s="1002"/>
      <c r="S1" s="1002"/>
      <c r="T1" s="1002"/>
      <c r="U1" s="1002"/>
      <c r="V1" s="1002"/>
      <c r="W1" s="1002"/>
      <c r="X1" s="1002"/>
      <c r="Y1" s="1002"/>
      <c r="Z1" s="1002"/>
      <c r="AA1" s="1002"/>
      <c r="AB1" s="1002"/>
      <c r="AC1" s="1002"/>
      <c r="AD1" s="1002"/>
      <c r="AE1" s="1002"/>
      <c r="AF1" s="1002"/>
      <c r="AG1" s="1002"/>
      <c r="AH1" s="1002"/>
      <c r="AI1" s="1002"/>
      <c r="AJ1" s="1002"/>
      <c r="AK1" s="1002"/>
      <c r="AL1" s="1002"/>
      <c r="AM1" s="1002"/>
      <c r="AN1" s="1002"/>
      <c r="AO1" s="1002"/>
    </row>
    <row r="2" spans="1:61" s="2" customFormat="1" ht="14.45" customHeight="1">
      <c r="A2" s="1001"/>
      <c r="B2" s="1001"/>
      <c r="C2" s="1003" t="s">
        <v>2497</v>
      </c>
      <c r="D2" s="1003"/>
      <c r="E2" s="1003"/>
      <c r="F2" s="1003"/>
      <c r="G2" s="1003"/>
      <c r="H2" s="1003"/>
      <c r="I2" s="1003"/>
      <c r="J2" s="1003"/>
      <c r="K2" s="1003"/>
      <c r="L2" s="1003"/>
      <c r="M2" s="1003"/>
      <c r="N2" s="1003"/>
      <c r="O2" s="1003"/>
      <c r="P2" s="1003"/>
      <c r="Q2" s="1003"/>
      <c r="R2" s="1003"/>
      <c r="S2" s="1003"/>
      <c r="T2" s="1003"/>
      <c r="U2" s="1003"/>
      <c r="V2" s="1003"/>
      <c r="W2" s="1003"/>
      <c r="X2" s="1003"/>
      <c r="Y2" s="1003"/>
      <c r="Z2" s="1003"/>
      <c r="AA2" s="1003"/>
      <c r="AB2" s="1003"/>
      <c r="AC2" s="1003"/>
      <c r="AD2" s="1003"/>
      <c r="AE2" s="1003"/>
      <c r="AF2" s="1003"/>
      <c r="AG2" s="1003"/>
      <c r="AH2" s="1003"/>
      <c r="AI2" s="1003"/>
      <c r="AJ2" s="1003"/>
      <c r="AK2" s="1003"/>
      <c r="AL2" s="1003"/>
      <c r="AM2" s="1003"/>
      <c r="AN2" s="1003"/>
      <c r="AO2" s="1003"/>
      <c r="AP2" s="25" t="s">
        <v>2</v>
      </c>
      <c r="AQ2" s="957" t="s">
        <v>3</v>
      </c>
      <c r="AR2" s="1"/>
      <c r="AS2" s="1"/>
      <c r="AT2" s="1"/>
      <c r="AU2" s="1"/>
      <c r="AV2" s="1"/>
      <c r="AW2" s="1"/>
      <c r="AX2" s="1"/>
      <c r="AY2" s="1"/>
      <c r="AZ2" s="1"/>
      <c r="BA2" s="1"/>
      <c r="BB2" s="1"/>
      <c r="BC2" s="1"/>
      <c r="BD2" s="1"/>
      <c r="BE2" s="1"/>
      <c r="BF2" s="1"/>
      <c r="BG2" s="1"/>
      <c r="BH2" s="1"/>
      <c r="BI2" s="1"/>
    </row>
    <row r="3" spans="1:61" s="2" customFormat="1" ht="11.25" customHeight="1">
      <c r="A3" s="1001"/>
      <c r="B3" s="1001"/>
      <c r="C3" s="1003"/>
      <c r="D3" s="1003"/>
      <c r="E3" s="1003"/>
      <c r="F3" s="1003"/>
      <c r="G3" s="1003"/>
      <c r="H3" s="1003"/>
      <c r="I3" s="1003"/>
      <c r="J3" s="1003"/>
      <c r="K3" s="1003"/>
      <c r="L3" s="1003"/>
      <c r="M3" s="1003"/>
      <c r="N3" s="1003"/>
      <c r="O3" s="1003"/>
      <c r="P3" s="1003"/>
      <c r="Q3" s="1003"/>
      <c r="R3" s="1003"/>
      <c r="S3" s="1003"/>
      <c r="T3" s="1003"/>
      <c r="U3" s="1003"/>
      <c r="V3" s="1003"/>
      <c r="W3" s="1003"/>
      <c r="X3" s="1003"/>
      <c r="Y3" s="1003"/>
      <c r="Z3" s="1003"/>
      <c r="AA3" s="1003"/>
      <c r="AB3" s="1003"/>
      <c r="AC3" s="1003"/>
      <c r="AD3" s="1003"/>
      <c r="AE3" s="1003"/>
      <c r="AF3" s="1003"/>
      <c r="AG3" s="1003"/>
      <c r="AH3" s="1003"/>
      <c r="AI3" s="1003"/>
      <c r="AJ3" s="1003"/>
      <c r="AK3" s="1003"/>
      <c r="AL3" s="1003"/>
      <c r="AM3" s="1003"/>
      <c r="AN3" s="1003"/>
      <c r="AO3" s="1003"/>
      <c r="AP3" s="42" t="s">
        <v>4</v>
      </c>
      <c r="AQ3" s="40">
        <v>14</v>
      </c>
      <c r="AR3" s="1"/>
      <c r="AS3" s="1"/>
      <c r="AT3" s="1"/>
      <c r="AU3" s="1"/>
      <c r="AV3" s="1"/>
      <c r="AW3" s="1"/>
      <c r="AX3" s="1"/>
      <c r="AY3" s="1"/>
      <c r="AZ3" s="1"/>
      <c r="BA3" s="1"/>
      <c r="BB3" s="1"/>
      <c r="BC3" s="1"/>
      <c r="BD3" s="1"/>
      <c r="BE3" s="1"/>
      <c r="BF3" s="1"/>
      <c r="BG3" s="1"/>
      <c r="BH3" s="1"/>
      <c r="BI3" s="1"/>
    </row>
    <row r="4" spans="1:61" s="2" customFormat="1" ht="18.75" customHeight="1">
      <c r="A4" s="1001"/>
      <c r="B4" s="1001"/>
      <c r="C4" s="1003"/>
      <c r="D4" s="1003"/>
      <c r="E4" s="1003"/>
      <c r="F4" s="1003"/>
      <c r="G4" s="1003"/>
      <c r="H4" s="1003"/>
      <c r="I4" s="1003"/>
      <c r="J4" s="1003"/>
      <c r="K4" s="1003"/>
      <c r="L4" s="1003"/>
      <c r="M4" s="1003"/>
      <c r="N4" s="1003"/>
      <c r="O4" s="1003"/>
      <c r="P4" s="1003"/>
      <c r="Q4" s="1003"/>
      <c r="R4" s="1003"/>
      <c r="S4" s="1003"/>
      <c r="T4" s="1003"/>
      <c r="U4" s="1003"/>
      <c r="V4" s="1003"/>
      <c r="W4" s="1003"/>
      <c r="X4" s="1003"/>
      <c r="Y4" s="1003"/>
      <c r="Z4" s="1003"/>
      <c r="AA4" s="1003"/>
      <c r="AB4" s="1003"/>
      <c r="AC4" s="1003"/>
      <c r="AD4" s="1003"/>
      <c r="AE4" s="1003"/>
      <c r="AF4" s="1003"/>
      <c r="AG4" s="1003"/>
      <c r="AH4" s="1003"/>
      <c r="AI4" s="1003"/>
      <c r="AJ4" s="1003"/>
      <c r="AK4" s="1003"/>
      <c r="AL4" s="1003"/>
      <c r="AM4" s="1003"/>
      <c r="AN4" s="1003"/>
      <c r="AO4" s="1003"/>
      <c r="AP4" s="42" t="s">
        <v>5</v>
      </c>
      <c r="AQ4" s="41">
        <v>45884</v>
      </c>
      <c r="AR4" s="1"/>
      <c r="AS4" s="1"/>
      <c r="AT4" s="1"/>
      <c r="AU4" s="1"/>
      <c r="AV4" s="1"/>
      <c r="AW4" s="1"/>
      <c r="AX4" s="1"/>
      <c r="AY4" s="1"/>
      <c r="AZ4" s="1"/>
      <c r="BA4" s="1"/>
      <c r="BB4" s="1"/>
      <c r="BC4" s="1"/>
      <c r="BD4" s="1"/>
      <c r="BE4" s="1"/>
      <c r="BF4" s="1"/>
      <c r="BG4" s="1"/>
      <c r="BH4" s="1"/>
      <c r="BI4" s="1"/>
    </row>
    <row r="5" spans="1:61" s="2" customFormat="1" ht="14.45" customHeight="1">
      <c r="A5" s="1001"/>
      <c r="B5" s="1001"/>
      <c r="C5" s="1004" t="s">
        <v>6</v>
      </c>
      <c r="D5" s="1004"/>
      <c r="E5" s="1004"/>
      <c r="F5" s="1004"/>
      <c r="G5" s="1004"/>
      <c r="H5" s="1004"/>
      <c r="I5" s="1004"/>
      <c r="J5" s="1004"/>
      <c r="K5" s="1004"/>
      <c r="L5" s="1004"/>
      <c r="M5" s="1004"/>
      <c r="N5" s="1004"/>
      <c r="O5" s="1004"/>
      <c r="P5" s="1004"/>
      <c r="Q5" s="1004"/>
      <c r="R5" s="1004"/>
      <c r="S5" s="1004"/>
      <c r="T5" s="1004"/>
      <c r="U5" s="1004"/>
      <c r="V5" s="1004"/>
      <c r="W5" s="1004"/>
      <c r="X5" s="1004"/>
      <c r="Y5" s="1004"/>
      <c r="Z5" s="1004"/>
      <c r="AA5" s="1004"/>
      <c r="AB5" s="1004"/>
      <c r="AC5" s="1004"/>
      <c r="AD5" s="1004"/>
      <c r="AE5" s="1004"/>
      <c r="AF5" s="1004"/>
      <c r="AG5" s="1004"/>
      <c r="AH5" s="1004"/>
      <c r="AI5" s="1004"/>
      <c r="AJ5" s="1004"/>
      <c r="AK5" s="1004"/>
      <c r="AL5" s="1004"/>
      <c r="AM5" s="1004"/>
      <c r="AN5" s="1004"/>
      <c r="AO5" s="1004"/>
      <c r="AP5" s="25" t="s">
        <v>7</v>
      </c>
      <c r="AQ5" s="3" t="s">
        <v>8</v>
      </c>
      <c r="AR5" s="1"/>
      <c r="AS5" s="1"/>
      <c r="AT5" s="1"/>
      <c r="AU5" s="1"/>
      <c r="AV5" s="1"/>
      <c r="AW5" s="1"/>
      <c r="AX5" s="1"/>
      <c r="AY5" s="1"/>
      <c r="AZ5" s="1"/>
      <c r="BA5" s="1"/>
      <c r="BB5" s="1"/>
      <c r="BC5" s="1"/>
      <c r="BD5" s="1"/>
      <c r="BE5" s="1"/>
      <c r="BF5" s="1"/>
      <c r="BG5" s="1"/>
      <c r="BH5" s="1"/>
      <c r="BI5" s="1"/>
    </row>
    <row r="6" spans="1:61" s="2" customFormat="1" ht="9.75" customHeight="1">
      <c r="A6" s="1001"/>
      <c r="B6" s="1001"/>
      <c r="C6" s="1004"/>
      <c r="D6" s="1004"/>
      <c r="E6" s="1004"/>
      <c r="F6" s="1004"/>
      <c r="G6" s="1004"/>
      <c r="H6" s="1004"/>
      <c r="I6" s="1004"/>
      <c r="J6" s="1004"/>
      <c r="K6" s="1005"/>
      <c r="L6" s="1005"/>
      <c r="M6" s="1005"/>
      <c r="N6" s="1004"/>
      <c r="O6" s="1004"/>
      <c r="P6" s="1004"/>
      <c r="Q6" s="1004"/>
      <c r="R6" s="1004"/>
      <c r="S6" s="1004"/>
      <c r="T6" s="1004"/>
      <c r="U6" s="1004"/>
      <c r="V6" s="1004"/>
      <c r="W6" s="1004"/>
      <c r="X6" s="1004"/>
      <c r="Y6" s="1004"/>
      <c r="Z6" s="1004"/>
      <c r="AA6" s="1004"/>
      <c r="AB6" s="1004"/>
      <c r="AC6" s="1004"/>
      <c r="AD6" s="1004"/>
      <c r="AE6" s="1004"/>
      <c r="AF6" s="1004"/>
      <c r="AG6" s="1004"/>
      <c r="AH6" s="1004"/>
      <c r="AI6" s="1004"/>
      <c r="AJ6" s="1004"/>
      <c r="AK6" s="1004"/>
      <c r="AL6" s="1004"/>
      <c r="AM6" s="1004"/>
      <c r="AN6" s="1004"/>
      <c r="AO6" s="1004"/>
      <c r="AP6" s="4"/>
      <c r="AQ6" s="5"/>
      <c r="AR6" s="1"/>
      <c r="AS6" s="1"/>
      <c r="AT6" s="1"/>
      <c r="AU6" s="1"/>
      <c r="AV6" s="1"/>
      <c r="AW6" s="1"/>
      <c r="AX6" s="1"/>
      <c r="AY6" s="1"/>
      <c r="AZ6" s="1"/>
      <c r="BA6" s="1"/>
      <c r="BB6" s="1"/>
      <c r="BC6" s="1"/>
      <c r="BD6" s="1"/>
      <c r="BE6" s="1"/>
      <c r="BF6" s="1"/>
      <c r="BG6" s="1"/>
      <c r="BH6" s="1"/>
      <c r="BI6" s="1"/>
    </row>
    <row r="7" spans="1:61" ht="21" customHeight="1">
      <c r="A7" s="1006" t="s">
        <v>9</v>
      </c>
      <c r="B7" s="1007"/>
      <c r="C7" s="1006" t="s">
        <v>10</v>
      </c>
      <c r="D7" s="1010"/>
      <c r="E7" s="1006" t="s">
        <v>11</v>
      </c>
      <c r="F7" s="1010"/>
      <c r="G7" s="1006" t="s">
        <v>12</v>
      </c>
      <c r="H7" s="1010"/>
      <c r="I7" s="1012" t="s">
        <v>13</v>
      </c>
      <c r="J7" s="1012"/>
      <c r="K7" s="1014" t="s">
        <v>14</v>
      </c>
      <c r="L7" s="1014"/>
      <c r="M7" s="1014"/>
      <c r="N7" s="1015" t="s">
        <v>15</v>
      </c>
      <c r="O7" s="1015"/>
      <c r="P7" s="1015"/>
      <c r="Q7" s="1015"/>
      <c r="R7" s="33"/>
      <c r="S7" s="958"/>
      <c r="T7" s="958"/>
      <c r="U7" s="958"/>
      <c r="V7" s="6"/>
      <c r="W7" s="6"/>
      <c r="X7" s="7"/>
      <c r="Y7" s="998" t="s">
        <v>16</v>
      </c>
      <c r="Z7" s="999"/>
      <c r="AA7" s="999"/>
      <c r="AB7" s="999"/>
      <c r="AC7" s="999"/>
      <c r="AD7" s="999"/>
      <c r="AE7" s="999"/>
      <c r="AF7" s="999"/>
      <c r="AG7" s="999"/>
      <c r="AH7" s="999"/>
      <c r="AI7" s="999"/>
      <c r="AJ7" s="999"/>
      <c r="AK7" s="999"/>
      <c r="AL7" s="999"/>
      <c r="AM7" s="999"/>
      <c r="AN7" s="1000"/>
      <c r="AO7" s="987" t="s">
        <v>17</v>
      </c>
      <c r="AP7" s="987" t="s">
        <v>18</v>
      </c>
      <c r="AQ7" s="987" t="s">
        <v>19</v>
      </c>
    </row>
    <row r="8" spans="1:61" s="9" customFormat="1" ht="12.75" customHeight="1">
      <c r="A8" s="1008"/>
      <c r="B8" s="1009"/>
      <c r="C8" s="1008"/>
      <c r="D8" s="1011"/>
      <c r="E8" s="1008"/>
      <c r="F8" s="1011"/>
      <c r="G8" s="1008"/>
      <c r="H8" s="1011"/>
      <c r="I8" s="1013"/>
      <c r="J8" s="1013"/>
      <c r="K8" s="1014"/>
      <c r="L8" s="1014"/>
      <c r="M8" s="1014"/>
      <c r="N8" s="1016"/>
      <c r="O8" s="1016"/>
      <c r="P8" s="1016"/>
      <c r="Q8" s="1016"/>
      <c r="R8" s="34"/>
      <c r="S8" s="959"/>
      <c r="T8" s="959"/>
      <c r="U8" s="959"/>
      <c r="V8" s="990" t="s">
        <v>20</v>
      </c>
      <c r="W8" s="991"/>
      <c r="X8" s="992"/>
      <c r="Y8" s="993" t="s">
        <v>21</v>
      </c>
      <c r="Z8" s="994"/>
      <c r="AA8" s="995" t="s">
        <v>22</v>
      </c>
      <c r="AB8" s="994"/>
      <c r="AC8" s="994"/>
      <c r="AD8" s="994"/>
      <c r="AE8" s="996" t="s">
        <v>23</v>
      </c>
      <c r="AF8" s="994"/>
      <c r="AG8" s="994"/>
      <c r="AH8" s="994"/>
      <c r="AI8" s="994"/>
      <c r="AJ8" s="994"/>
      <c r="AK8" s="995" t="s">
        <v>24</v>
      </c>
      <c r="AL8" s="994"/>
      <c r="AM8" s="994"/>
      <c r="AN8" s="997" t="s">
        <v>25</v>
      </c>
      <c r="AO8" s="988"/>
      <c r="AP8" s="988"/>
      <c r="AQ8" s="988"/>
      <c r="AR8" s="8"/>
      <c r="AS8" s="8"/>
      <c r="AT8" s="8"/>
      <c r="AU8" s="8"/>
      <c r="AV8" s="8"/>
      <c r="AW8" s="8"/>
      <c r="AX8" s="8"/>
      <c r="AY8" s="8"/>
      <c r="AZ8" s="8"/>
      <c r="BA8" s="8"/>
      <c r="BB8" s="8"/>
      <c r="BC8" s="8"/>
      <c r="BD8" s="8"/>
      <c r="BE8" s="8"/>
      <c r="BF8" s="8"/>
    </row>
    <row r="9" spans="1:61" s="16" customFormat="1" ht="55.5" customHeight="1">
      <c r="A9" s="10" t="s">
        <v>26</v>
      </c>
      <c r="B9" s="10" t="s">
        <v>27</v>
      </c>
      <c r="C9" s="10" t="s">
        <v>28</v>
      </c>
      <c r="D9" s="11" t="s">
        <v>29</v>
      </c>
      <c r="E9" s="11" t="s">
        <v>28</v>
      </c>
      <c r="F9" s="11" t="s">
        <v>29</v>
      </c>
      <c r="G9" s="12" t="s">
        <v>26</v>
      </c>
      <c r="H9" s="12" t="s">
        <v>29</v>
      </c>
      <c r="I9" s="12" t="s">
        <v>30</v>
      </c>
      <c r="J9" s="12" t="s">
        <v>31</v>
      </c>
      <c r="K9" s="39" t="s">
        <v>32</v>
      </c>
      <c r="L9" s="39" t="s">
        <v>33</v>
      </c>
      <c r="M9" s="39" t="s">
        <v>25</v>
      </c>
      <c r="N9" s="12" t="s">
        <v>34</v>
      </c>
      <c r="O9" s="12" t="s">
        <v>35</v>
      </c>
      <c r="P9" s="11" t="s">
        <v>36</v>
      </c>
      <c r="Q9" s="13" t="s">
        <v>37</v>
      </c>
      <c r="R9" s="35" t="s">
        <v>38</v>
      </c>
      <c r="S9" s="13" t="s">
        <v>39</v>
      </c>
      <c r="T9" s="13" t="s">
        <v>40</v>
      </c>
      <c r="U9" s="13" t="s">
        <v>41</v>
      </c>
      <c r="V9" s="10" t="s">
        <v>42</v>
      </c>
      <c r="W9" s="11" t="s">
        <v>26</v>
      </c>
      <c r="X9" s="11" t="s">
        <v>27</v>
      </c>
      <c r="Y9" s="14" t="s">
        <v>43</v>
      </c>
      <c r="Z9" s="15" t="s">
        <v>44</v>
      </c>
      <c r="AA9" s="14" t="s">
        <v>45</v>
      </c>
      <c r="AB9" s="14" t="s">
        <v>46</v>
      </c>
      <c r="AC9" s="14" t="s">
        <v>47</v>
      </c>
      <c r="AD9" s="14" t="s">
        <v>48</v>
      </c>
      <c r="AE9" s="14" t="s">
        <v>49</v>
      </c>
      <c r="AF9" s="14" t="s">
        <v>50</v>
      </c>
      <c r="AG9" s="14" t="s">
        <v>51</v>
      </c>
      <c r="AH9" s="14" t="s">
        <v>52</v>
      </c>
      <c r="AI9" s="14" t="s">
        <v>53</v>
      </c>
      <c r="AJ9" s="14" t="s">
        <v>54</v>
      </c>
      <c r="AK9" s="14" t="s">
        <v>55</v>
      </c>
      <c r="AL9" s="14" t="s">
        <v>56</v>
      </c>
      <c r="AM9" s="14" t="s">
        <v>57</v>
      </c>
      <c r="AN9" s="997"/>
      <c r="AO9" s="989"/>
      <c r="AP9" s="989"/>
      <c r="AQ9" s="989"/>
      <c r="AR9" s="8"/>
      <c r="AS9" s="8"/>
      <c r="AT9" s="8"/>
      <c r="AU9" s="8"/>
      <c r="AV9" s="8"/>
      <c r="AW9" s="8"/>
      <c r="AX9" s="8"/>
      <c r="AY9" s="8"/>
      <c r="AZ9" s="8"/>
      <c r="BA9" s="8"/>
      <c r="BB9" s="8"/>
      <c r="BC9" s="8"/>
      <c r="BD9" s="8"/>
      <c r="BE9" s="8"/>
      <c r="BF9" s="8"/>
    </row>
    <row r="10" spans="1:61" ht="108" customHeight="1">
      <c r="A10" s="822">
        <v>1</v>
      </c>
      <c r="B10" s="823" t="s">
        <v>2498</v>
      </c>
      <c r="C10" s="824">
        <v>43</v>
      </c>
      <c r="D10" s="825" t="s">
        <v>2499</v>
      </c>
      <c r="E10" s="824">
        <v>4301</v>
      </c>
      <c r="F10" s="826" t="s">
        <v>2500</v>
      </c>
      <c r="G10" s="827">
        <v>4301007</v>
      </c>
      <c r="H10" s="826" t="s">
        <v>2501</v>
      </c>
      <c r="I10" s="824">
        <v>430100700</v>
      </c>
      <c r="J10" s="826" t="s">
        <v>2502</v>
      </c>
      <c r="K10" s="824">
        <v>650</v>
      </c>
      <c r="L10" s="115">
        <v>0</v>
      </c>
      <c r="M10" s="115">
        <f>+K10+L10</f>
        <v>650</v>
      </c>
      <c r="N10" s="828">
        <v>2024003630029</v>
      </c>
      <c r="O10" s="826" t="s">
        <v>2503</v>
      </c>
      <c r="P10" s="513" t="s">
        <v>2504</v>
      </c>
      <c r="Q10" s="139">
        <v>10000000</v>
      </c>
      <c r="R10" s="138">
        <v>0</v>
      </c>
      <c r="S10" s="139">
        <v>0</v>
      </c>
      <c r="T10" s="139">
        <v>0</v>
      </c>
      <c r="U10" s="454">
        <f>+Q10-R10</f>
        <v>10000000</v>
      </c>
      <c r="V10" s="458" t="s">
        <v>2505</v>
      </c>
      <c r="W10" s="23" t="s">
        <v>2506</v>
      </c>
      <c r="X10" s="28" t="s">
        <v>2507</v>
      </c>
      <c r="Y10" s="829">
        <v>13860</v>
      </c>
      <c r="Z10" s="830">
        <v>6090</v>
      </c>
      <c r="AA10" s="830">
        <v>1650</v>
      </c>
      <c r="AB10" s="830">
        <v>4420</v>
      </c>
      <c r="AC10" s="830">
        <v>8130</v>
      </c>
      <c r="AD10" s="830">
        <v>5750</v>
      </c>
      <c r="AE10" s="115"/>
      <c r="AF10" s="115"/>
      <c r="AG10" s="115"/>
      <c r="AH10" s="115"/>
      <c r="AI10" s="115"/>
      <c r="AJ10" s="115"/>
      <c r="AK10" s="115"/>
      <c r="AL10" s="115"/>
      <c r="AM10" s="115"/>
      <c r="AN10" s="115">
        <f>+Y10+Z10</f>
        <v>19950</v>
      </c>
      <c r="AO10" s="144">
        <v>46024</v>
      </c>
      <c r="AP10" s="144">
        <v>46387</v>
      </c>
      <c r="AQ10" s="115" t="s">
        <v>2508</v>
      </c>
    </row>
    <row r="11" spans="1:61" ht="128.1" customHeight="1">
      <c r="A11" s="822">
        <v>1</v>
      </c>
      <c r="B11" s="823" t="s">
        <v>2498</v>
      </c>
      <c r="C11" s="824">
        <v>43</v>
      </c>
      <c r="D11" s="825" t="s">
        <v>2499</v>
      </c>
      <c r="E11" s="824">
        <v>4301</v>
      </c>
      <c r="F11" s="826" t="s">
        <v>2500</v>
      </c>
      <c r="G11" s="827">
        <v>4301007</v>
      </c>
      <c r="H11" s="826" t="s">
        <v>2501</v>
      </c>
      <c r="I11" s="824">
        <v>430100700</v>
      </c>
      <c r="J11" s="826" t="s">
        <v>2502</v>
      </c>
      <c r="K11" s="824">
        <v>650</v>
      </c>
      <c r="L11" s="115">
        <v>0</v>
      </c>
      <c r="M11" s="115">
        <f>+K11+L11</f>
        <v>650</v>
      </c>
      <c r="N11" s="828">
        <v>2024003630029</v>
      </c>
      <c r="O11" s="826" t="s">
        <v>2503</v>
      </c>
      <c r="P11" s="513" t="s">
        <v>2509</v>
      </c>
      <c r="Q11" s="139">
        <v>180000000</v>
      </c>
      <c r="R11" s="138">
        <v>0</v>
      </c>
      <c r="S11" s="139">
        <v>0</v>
      </c>
      <c r="T11" s="139">
        <v>0</v>
      </c>
      <c r="U11" s="454">
        <f t="shared" ref="U11:U66" si="0">+Q11-R11</f>
        <v>180000000</v>
      </c>
      <c r="V11" s="458" t="s">
        <v>2510</v>
      </c>
      <c r="W11" s="23" t="s">
        <v>2511</v>
      </c>
      <c r="X11" s="28" t="s">
        <v>2512</v>
      </c>
      <c r="Y11" s="829">
        <v>13860</v>
      </c>
      <c r="Z11" s="830">
        <v>6090</v>
      </c>
      <c r="AA11" s="830">
        <v>1650</v>
      </c>
      <c r="AB11" s="830">
        <v>4420</v>
      </c>
      <c r="AC11" s="830">
        <v>8130</v>
      </c>
      <c r="AD11" s="830">
        <v>5750</v>
      </c>
      <c r="AE11" s="115"/>
      <c r="AF11" s="115"/>
      <c r="AG11" s="115"/>
      <c r="AH11" s="115"/>
      <c r="AI11" s="115"/>
      <c r="AJ11" s="115"/>
      <c r="AK11" s="115"/>
      <c r="AL11" s="115"/>
      <c r="AM11" s="115"/>
      <c r="AN11" s="115">
        <f t="shared" ref="AN11:AN44" si="1">+Y11+Z11</f>
        <v>19950</v>
      </c>
      <c r="AO11" s="144">
        <v>46024</v>
      </c>
      <c r="AP11" s="144">
        <v>46387</v>
      </c>
      <c r="AQ11" s="115" t="s">
        <v>2508</v>
      </c>
    </row>
    <row r="12" spans="1:61" ht="108" customHeight="1">
      <c r="A12" s="822">
        <v>1</v>
      </c>
      <c r="B12" s="823" t="s">
        <v>2498</v>
      </c>
      <c r="C12" s="824">
        <v>43</v>
      </c>
      <c r="D12" s="825" t="s">
        <v>2499</v>
      </c>
      <c r="E12" s="824">
        <v>4301</v>
      </c>
      <c r="F12" s="826" t="s">
        <v>2500</v>
      </c>
      <c r="G12" s="827">
        <v>4301007</v>
      </c>
      <c r="H12" s="826" t="s">
        <v>2501</v>
      </c>
      <c r="I12" s="824">
        <v>430100700</v>
      </c>
      <c r="J12" s="826" t="s">
        <v>2502</v>
      </c>
      <c r="K12" s="824">
        <v>650</v>
      </c>
      <c r="L12" s="115">
        <v>0</v>
      </c>
      <c r="M12" s="115">
        <f t="shared" ref="M12:M66" si="2">+K12+L12</f>
        <v>650</v>
      </c>
      <c r="N12" s="828">
        <v>2024003630029</v>
      </c>
      <c r="O12" s="826" t="s">
        <v>2503</v>
      </c>
      <c r="P12" s="513" t="s">
        <v>2513</v>
      </c>
      <c r="Q12" s="139">
        <v>40000000</v>
      </c>
      <c r="R12" s="138">
        <v>0</v>
      </c>
      <c r="S12" s="139">
        <v>0</v>
      </c>
      <c r="T12" s="139">
        <v>0</v>
      </c>
      <c r="U12" s="454">
        <f t="shared" si="0"/>
        <v>40000000</v>
      </c>
      <c r="V12" s="458" t="s">
        <v>2514</v>
      </c>
      <c r="W12" s="23" t="s">
        <v>2511</v>
      </c>
      <c r="X12" s="28" t="s">
        <v>2512</v>
      </c>
      <c r="Y12" s="829">
        <v>13860</v>
      </c>
      <c r="Z12" s="830">
        <v>6090</v>
      </c>
      <c r="AA12" s="830">
        <v>1650</v>
      </c>
      <c r="AB12" s="830">
        <v>4420</v>
      </c>
      <c r="AC12" s="830">
        <v>8130</v>
      </c>
      <c r="AD12" s="830">
        <v>5750</v>
      </c>
      <c r="AE12" s="115"/>
      <c r="AF12" s="115"/>
      <c r="AG12" s="115"/>
      <c r="AH12" s="115"/>
      <c r="AI12" s="115"/>
      <c r="AJ12" s="115"/>
      <c r="AK12" s="115"/>
      <c r="AL12" s="115"/>
      <c r="AM12" s="115"/>
      <c r="AN12" s="115">
        <f t="shared" si="1"/>
        <v>19950</v>
      </c>
      <c r="AO12" s="144">
        <v>46024</v>
      </c>
      <c r="AP12" s="144">
        <v>46387</v>
      </c>
      <c r="AQ12" s="115" t="s">
        <v>2508</v>
      </c>
    </row>
    <row r="13" spans="1:61" ht="108" customHeight="1">
      <c r="A13" s="822">
        <v>1</v>
      </c>
      <c r="B13" s="823" t="s">
        <v>2498</v>
      </c>
      <c r="C13" s="824">
        <v>43</v>
      </c>
      <c r="D13" s="825" t="s">
        <v>2499</v>
      </c>
      <c r="E13" s="824">
        <v>4301</v>
      </c>
      <c r="F13" s="826" t="s">
        <v>2500</v>
      </c>
      <c r="G13" s="827">
        <v>4301007</v>
      </c>
      <c r="H13" s="826" t="s">
        <v>2501</v>
      </c>
      <c r="I13" s="824">
        <v>430100700</v>
      </c>
      <c r="J13" s="826" t="s">
        <v>2502</v>
      </c>
      <c r="K13" s="824">
        <v>650</v>
      </c>
      <c r="L13" s="115">
        <v>0</v>
      </c>
      <c r="M13" s="115">
        <f t="shared" si="2"/>
        <v>650</v>
      </c>
      <c r="N13" s="828">
        <v>2024003630029</v>
      </c>
      <c r="O13" s="826" t="s">
        <v>2503</v>
      </c>
      <c r="P13" s="513" t="s">
        <v>2513</v>
      </c>
      <c r="Q13" s="139">
        <v>50000000</v>
      </c>
      <c r="R13" s="138">
        <v>0</v>
      </c>
      <c r="S13" s="139">
        <v>0</v>
      </c>
      <c r="T13" s="139">
        <v>0</v>
      </c>
      <c r="U13" s="454">
        <f t="shared" si="0"/>
        <v>50000000</v>
      </c>
      <c r="V13" s="458" t="s">
        <v>2515</v>
      </c>
      <c r="W13" s="23" t="s">
        <v>2516</v>
      </c>
      <c r="X13" s="28" t="s">
        <v>2517</v>
      </c>
      <c r="Y13" s="829">
        <v>13860</v>
      </c>
      <c r="Z13" s="830">
        <v>6090</v>
      </c>
      <c r="AA13" s="830">
        <v>1650</v>
      </c>
      <c r="AB13" s="830">
        <v>4420</v>
      </c>
      <c r="AC13" s="830">
        <v>8130</v>
      </c>
      <c r="AD13" s="830">
        <v>5750</v>
      </c>
      <c r="AE13" s="115"/>
      <c r="AF13" s="115"/>
      <c r="AG13" s="115"/>
      <c r="AH13" s="115"/>
      <c r="AI13" s="115"/>
      <c r="AJ13" s="115"/>
      <c r="AK13" s="115"/>
      <c r="AL13" s="115"/>
      <c r="AM13" s="115"/>
      <c r="AN13" s="115">
        <f t="shared" si="1"/>
        <v>19950</v>
      </c>
      <c r="AO13" s="144">
        <v>46024</v>
      </c>
      <c r="AP13" s="144">
        <v>46387</v>
      </c>
      <c r="AQ13" s="115" t="s">
        <v>2508</v>
      </c>
    </row>
    <row r="14" spans="1:61" ht="108" customHeight="1">
      <c r="A14" s="822">
        <v>1</v>
      </c>
      <c r="B14" s="823" t="s">
        <v>2498</v>
      </c>
      <c r="C14" s="824">
        <v>43</v>
      </c>
      <c r="D14" s="825" t="s">
        <v>2499</v>
      </c>
      <c r="E14" s="824">
        <v>4301</v>
      </c>
      <c r="F14" s="826" t="s">
        <v>2500</v>
      </c>
      <c r="G14" s="827">
        <v>4301007</v>
      </c>
      <c r="H14" s="826" t="s">
        <v>2501</v>
      </c>
      <c r="I14" s="824">
        <v>430100701</v>
      </c>
      <c r="J14" s="826" t="s">
        <v>2518</v>
      </c>
      <c r="K14" s="824">
        <v>12</v>
      </c>
      <c r="L14" s="115">
        <v>0</v>
      </c>
      <c r="M14" s="115">
        <f t="shared" si="2"/>
        <v>12</v>
      </c>
      <c r="N14" s="828">
        <v>2024003630029</v>
      </c>
      <c r="O14" s="826" t="s">
        <v>2503</v>
      </c>
      <c r="P14" s="513" t="s">
        <v>2519</v>
      </c>
      <c r="Q14" s="139">
        <v>250000000</v>
      </c>
      <c r="R14" s="138">
        <v>0</v>
      </c>
      <c r="S14" s="139">
        <v>0</v>
      </c>
      <c r="T14" s="139">
        <v>0</v>
      </c>
      <c r="U14" s="454">
        <f t="shared" si="0"/>
        <v>250000000</v>
      </c>
      <c r="V14" s="458" t="s">
        <v>2520</v>
      </c>
      <c r="W14" s="23" t="s">
        <v>2506</v>
      </c>
      <c r="X14" s="28" t="s">
        <v>2507</v>
      </c>
      <c r="Y14" s="829">
        <v>13860</v>
      </c>
      <c r="Z14" s="830">
        <v>6090</v>
      </c>
      <c r="AA14" s="830">
        <v>1650</v>
      </c>
      <c r="AB14" s="830">
        <v>4420</v>
      </c>
      <c r="AC14" s="830">
        <v>8130</v>
      </c>
      <c r="AD14" s="830">
        <v>5750</v>
      </c>
      <c r="AE14" s="115"/>
      <c r="AF14" s="115"/>
      <c r="AG14" s="115"/>
      <c r="AH14" s="115"/>
      <c r="AI14" s="115"/>
      <c r="AJ14" s="115"/>
      <c r="AK14" s="115"/>
      <c r="AL14" s="115"/>
      <c r="AM14" s="115"/>
      <c r="AN14" s="115">
        <f t="shared" si="1"/>
        <v>19950</v>
      </c>
      <c r="AO14" s="144">
        <v>46024</v>
      </c>
      <c r="AP14" s="144">
        <v>46387</v>
      </c>
      <c r="AQ14" s="115" t="s">
        <v>2508</v>
      </c>
    </row>
    <row r="15" spans="1:61" ht="108" customHeight="1">
      <c r="A15" s="822">
        <v>1</v>
      </c>
      <c r="B15" s="823" t="s">
        <v>2498</v>
      </c>
      <c r="C15" s="824">
        <v>43</v>
      </c>
      <c r="D15" s="825" t="s">
        <v>2499</v>
      </c>
      <c r="E15" s="824">
        <v>4301</v>
      </c>
      <c r="F15" s="826" t="s">
        <v>2500</v>
      </c>
      <c r="G15" s="827">
        <v>4301007</v>
      </c>
      <c r="H15" s="826" t="s">
        <v>2501</v>
      </c>
      <c r="I15" s="824">
        <v>430100701</v>
      </c>
      <c r="J15" s="826" t="s">
        <v>2518</v>
      </c>
      <c r="K15" s="824">
        <v>12</v>
      </c>
      <c r="L15" s="115">
        <v>0</v>
      </c>
      <c r="M15" s="115">
        <f t="shared" si="2"/>
        <v>12</v>
      </c>
      <c r="N15" s="828">
        <v>2024003630029</v>
      </c>
      <c r="O15" s="826" t="s">
        <v>2503</v>
      </c>
      <c r="P15" s="513" t="s">
        <v>2519</v>
      </c>
      <c r="Q15" s="139">
        <v>12000000</v>
      </c>
      <c r="R15" s="138">
        <v>0</v>
      </c>
      <c r="S15" s="139">
        <v>0</v>
      </c>
      <c r="T15" s="139">
        <v>0</v>
      </c>
      <c r="U15" s="454">
        <f t="shared" si="0"/>
        <v>12000000</v>
      </c>
      <c r="V15" s="458" t="s">
        <v>2521</v>
      </c>
      <c r="W15" s="23" t="s">
        <v>2522</v>
      </c>
      <c r="X15" s="28" t="s">
        <v>2523</v>
      </c>
      <c r="Y15" s="829">
        <v>13860</v>
      </c>
      <c r="Z15" s="830">
        <v>6090</v>
      </c>
      <c r="AA15" s="830">
        <v>1650</v>
      </c>
      <c r="AB15" s="830">
        <v>4420</v>
      </c>
      <c r="AC15" s="830">
        <v>8130</v>
      </c>
      <c r="AD15" s="830">
        <v>5750</v>
      </c>
      <c r="AE15" s="115"/>
      <c r="AF15" s="115"/>
      <c r="AG15" s="115"/>
      <c r="AH15" s="115"/>
      <c r="AI15" s="115"/>
      <c r="AJ15" s="115"/>
      <c r="AK15" s="115"/>
      <c r="AL15" s="115"/>
      <c r="AM15" s="115"/>
      <c r="AN15" s="115">
        <f t="shared" si="1"/>
        <v>19950</v>
      </c>
      <c r="AO15" s="144">
        <v>46024</v>
      </c>
      <c r="AP15" s="144">
        <v>46387</v>
      </c>
      <c r="AQ15" s="115" t="s">
        <v>2508</v>
      </c>
    </row>
    <row r="16" spans="1:61" ht="108" customHeight="1">
      <c r="A16" s="822">
        <v>1</v>
      </c>
      <c r="B16" s="823" t="s">
        <v>2498</v>
      </c>
      <c r="C16" s="824">
        <v>43</v>
      </c>
      <c r="D16" s="825" t="s">
        <v>2499</v>
      </c>
      <c r="E16" s="824">
        <v>4301</v>
      </c>
      <c r="F16" s="826" t="s">
        <v>2500</v>
      </c>
      <c r="G16" s="827">
        <v>4301007</v>
      </c>
      <c r="H16" s="826" t="s">
        <v>2501</v>
      </c>
      <c r="I16" s="824">
        <v>430100701</v>
      </c>
      <c r="J16" s="826" t="s">
        <v>2518</v>
      </c>
      <c r="K16" s="824">
        <v>12</v>
      </c>
      <c r="L16" s="115">
        <v>0</v>
      </c>
      <c r="M16" s="115">
        <f t="shared" si="2"/>
        <v>12</v>
      </c>
      <c r="N16" s="828">
        <v>2024003630029</v>
      </c>
      <c r="O16" s="826" t="s">
        <v>2503</v>
      </c>
      <c r="P16" s="513" t="s">
        <v>2524</v>
      </c>
      <c r="Q16" s="139">
        <v>30000000</v>
      </c>
      <c r="R16" s="138">
        <v>0</v>
      </c>
      <c r="S16" s="139">
        <v>0</v>
      </c>
      <c r="T16" s="139">
        <v>0</v>
      </c>
      <c r="U16" s="454">
        <f t="shared" si="0"/>
        <v>30000000</v>
      </c>
      <c r="V16" s="458" t="s">
        <v>2525</v>
      </c>
      <c r="W16" s="23" t="s">
        <v>2506</v>
      </c>
      <c r="X16" s="28" t="s">
        <v>2507</v>
      </c>
      <c r="Y16" s="829">
        <v>13860</v>
      </c>
      <c r="Z16" s="830">
        <v>6090</v>
      </c>
      <c r="AA16" s="830">
        <v>1650</v>
      </c>
      <c r="AB16" s="830">
        <v>4420</v>
      </c>
      <c r="AC16" s="830">
        <v>8130</v>
      </c>
      <c r="AD16" s="830">
        <v>5750</v>
      </c>
      <c r="AE16" s="115"/>
      <c r="AF16" s="115"/>
      <c r="AG16" s="115"/>
      <c r="AH16" s="115"/>
      <c r="AI16" s="115"/>
      <c r="AJ16" s="115"/>
      <c r="AK16" s="115"/>
      <c r="AL16" s="115"/>
      <c r="AM16" s="115"/>
      <c r="AN16" s="115">
        <f t="shared" si="1"/>
        <v>19950</v>
      </c>
      <c r="AO16" s="144">
        <v>46024</v>
      </c>
      <c r="AP16" s="144">
        <v>46387</v>
      </c>
      <c r="AQ16" s="115" t="s">
        <v>2508</v>
      </c>
    </row>
    <row r="17" spans="1:43" ht="108" customHeight="1">
      <c r="A17" s="822">
        <v>1</v>
      </c>
      <c r="B17" s="823" t="s">
        <v>2498</v>
      </c>
      <c r="C17" s="824">
        <v>43</v>
      </c>
      <c r="D17" s="825" t="s">
        <v>2499</v>
      </c>
      <c r="E17" s="824">
        <v>4301</v>
      </c>
      <c r="F17" s="826" t="s">
        <v>2500</v>
      </c>
      <c r="G17" s="827">
        <v>4301007</v>
      </c>
      <c r="H17" s="826" t="s">
        <v>2501</v>
      </c>
      <c r="I17" s="824">
        <v>430100701</v>
      </c>
      <c r="J17" s="826" t="s">
        <v>2518</v>
      </c>
      <c r="K17" s="824">
        <v>12</v>
      </c>
      <c r="L17" s="115">
        <v>0</v>
      </c>
      <c r="M17" s="115">
        <f t="shared" si="2"/>
        <v>12</v>
      </c>
      <c r="N17" s="828">
        <v>2024003630029</v>
      </c>
      <c r="O17" s="826" t="s">
        <v>2503</v>
      </c>
      <c r="P17" s="513" t="s">
        <v>2526</v>
      </c>
      <c r="Q17" s="139">
        <v>869522983.94000006</v>
      </c>
      <c r="R17" s="138">
        <v>0</v>
      </c>
      <c r="S17" s="139">
        <v>0</v>
      </c>
      <c r="T17" s="139">
        <v>0</v>
      </c>
      <c r="U17" s="831">
        <f t="shared" si="0"/>
        <v>869522983.94000006</v>
      </c>
      <c r="V17" s="458" t="s">
        <v>2527</v>
      </c>
      <c r="W17" s="23" t="s">
        <v>2528</v>
      </c>
      <c r="X17" s="28" t="s">
        <v>2529</v>
      </c>
      <c r="Y17" s="829">
        <v>13860</v>
      </c>
      <c r="Z17" s="830">
        <v>6090</v>
      </c>
      <c r="AA17" s="830">
        <v>1650</v>
      </c>
      <c r="AB17" s="830">
        <v>4420</v>
      </c>
      <c r="AC17" s="830">
        <v>8130</v>
      </c>
      <c r="AD17" s="830">
        <v>5750</v>
      </c>
      <c r="AE17" s="115"/>
      <c r="AF17" s="115"/>
      <c r="AG17" s="115"/>
      <c r="AH17" s="115"/>
      <c r="AI17" s="115"/>
      <c r="AJ17" s="115"/>
      <c r="AK17" s="115"/>
      <c r="AL17" s="115"/>
      <c r="AM17" s="115"/>
      <c r="AN17" s="115">
        <f t="shared" si="1"/>
        <v>19950</v>
      </c>
      <c r="AO17" s="144">
        <v>46024</v>
      </c>
      <c r="AP17" s="144">
        <v>46387</v>
      </c>
      <c r="AQ17" s="115" t="s">
        <v>2508</v>
      </c>
    </row>
    <row r="18" spans="1:43" ht="108" customHeight="1">
      <c r="A18" s="822">
        <v>1</v>
      </c>
      <c r="B18" s="823" t="s">
        <v>2498</v>
      </c>
      <c r="C18" s="824">
        <v>43</v>
      </c>
      <c r="D18" s="825" t="s">
        <v>2499</v>
      </c>
      <c r="E18" s="824">
        <v>4301</v>
      </c>
      <c r="F18" s="826" t="s">
        <v>2500</v>
      </c>
      <c r="G18" s="115">
        <v>4301032</v>
      </c>
      <c r="H18" s="456" t="s">
        <v>2530</v>
      </c>
      <c r="I18" s="115">
        <v>430103201</v>
      </c>
      <c r="J18" s="456" t="s">
        <v>707</v>
      </c>
      <c r="K18" s="115">
        <v>4000</v>
      </c>
      <c r="L18" s="115">
        <v>0</v>
      </c>
      <c r="M18" s="115">
        <f t="shared" si="2"/>
        <v>4000</v>
      </c>
      <c r="N18" s="828">
        <v>2024003630029</v>
      </c>
      <c r="O18" s="826" t="s">
        <v>2503</v>
      </c>
      <c r="P18" s="513" t="s">
        <v>2531</v>
      </c>
      <c r="Q18" s="139">
        <v>40000000</v>
      </c>
      <c r="R18" s="138">
        <v>0</v>
      </c>
      <c r="S18" s="139">
        <v>0</v>
      </c>
      <c r="T18" s="139">
        <v>0</v>
      </c>
      <c r="U18" s="454">
        <f t="shared" si="0"/>
        <v>40000000</v>
      </c>
      <c r="V18" s="458" t="s">
        <v>2532</v>
      </c>
      <c r="W18" s="23" t="s">
        <v>2511</v>
      </c>
      <c r="X18" s="28" t="s">
        <v>2512</v>
      </c>
      <c r="Y18" s="829">
        <v>13860</v>
      </c>
      <c r="Z18" s="830">
        <v>6090</v>
      </c>
      <c r="AA18" s="830">
        <v>1650</v>
      </c>
      <c r="AB18" s="830">
        <v>4420</v>
      </c>
      <c r="AC18" s="830">
        <v>8130</v>
      </c>
      <c r="AD18" s="830">
        <v>5750</v>
      </c>
      <c r="AE18" s="115"/>
      <c r="AF18" s="115"/>
      <c r="AG18" s="115"/>
      <c r="AH18" s="115"/>
      <c r="AI18" s="115"/>
      <c r="AJ18" s="115"/>
      <c r="AK18" s="115"/>
      <c r="AL18" s="115"/>
      <c r="AM18" s="115"/>
      <c r="AN18" s="115">
        <f t="shared" si="1"/>
        <v>19950</v>
      </c>
      <c r="AO18" s="144">
        <v>46024</v>
      </c>
      <c r="AP18" s="144">
        <v>46387</v>
      </c>
      <c r="AQ18" s="115" t="s">
        <v>2508</v>
      </c>
    </row>
    <row r="19" spans="1:43" ht="108" customHeight="1">
      <c r="A19" s="822">
        <v>1</v>
      </c>
      <c r="B19" s="823" t="s">
        <v>2498</v>
      </c>
      <c r="C19" s="824">
        <v>43</v>
      </c>
      <c r="D19" s="825" t="s">
        <v>2499</v>
      </c>
      <c r="E19" s="824">
        <v>4301</v>
      </c>
      <c r="F19" s="826" t="s">
        <v>2500</v>
      </c>
      <c r="G19" s="115">
        <v>4301032</v>
      </c>
      <c r="H19" s="456" t="s">
        <v>2530</v>
      </c>
      <c r="I19" s="115">
        <v>430103201</v>
      </c>
      <c r="J19" s="456" t="s">
        <v>707</v>
      </c>
      <c r="K19" s="115">
        <v>4000</v>
      </c>
      <c r="L19" s="115">
        <v>0</v>
      </c>
      <c r="M19" s="115">
        <f t="shared" si="2"/>
        <v>4000</v>
      </c>
      <c r="N19" s="828">
        <v>2024003630029</v>
      </c>
      <c r="O19" s="826" t="s">
        <v>2503</v>
      </c>
      <c r="P19" s="513" t="s">
        <v>2531</v>
      </c>
      <c r="Q19" s="139">
        <v>10000000</v>
      </c>
      <c r="R19" s="138">
        <v>0</v>
      </c>
      <c r="S19" s="139">
        <v>0</v>
      </c>
      <c r="T19" s="139">
        <v>0</v>
      </c>
      <c r="U19" s="454">
        <f t="shared" si="0"/>
        <v>10000000</v>
      </c>
      <c r="V19" s="458" t="s">
        <v>2533</v>
      </c>
      <c r="W19" s="23" t="s">
        <v>2511</v>
      </c>
      <c r="X19" s="28" t="s">
        <v>2512</v>
      </c>
      <c r="Y19" s="829">
        <v>13860</v>
      </c>
      <c r="Z19" s="830">
        <v>6090</v>
      </c>
      <c r="AA19" s="830">
        <v>1650</v>
      </c>
      <c r="AB19" s="830">
        <v>4420</v>
      </c>
      <c r="AC19" s="830">
        <v>8130</v>
      </c>
      <c r="AD19" s="830">
        <v>5750</v>
      </c>
      <c r="AE19" s="115"/>
      <c r="AF19" s="115"/>
      <c r="AG19" s="115"/>
      <c r="AH19" s="115"/>
      <c r="AI19" s="115"/>
      <c r="AJ19" s="115"/>
      <c r="AK19" s="115"/>
      <c r="AL19" s="115"/>
      <c r="AM19" s="115"/>
      <c r="AN19" s="115">
        <f t="shared" si="1"/>
        <v>19950</v>
      </c>
      <c r="AO19" s="144">
        <v>46024</v>
      </c>
      <c r="AP19" s="144">
        <v>46387</v>
      </c>
      <c r="AQ19" s="115" t="s">
        <v>2508</v>
      </c>
    </row>
    <row r="20" spans="1:43" ht="108" customHeight="1">
      <c r="A20" s="822">
        <v>1</v>
      </c>
      <c r="B20" s="823" t="s">
        <v>2498</v>
      </c>
      <c r="C20" s="824">
        <v>43</v>
      </c>
      <c r="D20" s="825" t="s">
        <v>2499</v>
      </c>
      <c r="E20" s="824">
        <v>4301</v>
      </c>
      <c r="F20" s="826" t="s">
        <v>2500</v>
      </c>
      <c r="G20" s="115">
        <v>4301032</v>
      </c>
      <c r="H20" s="456" t="s">
        <v>2530</v>
      </c>
      <c r="I20" s="115">
        <v>430103201</v>
      </c>
      <c r="J20" s="456" t="s">
        <v>707</v>
      </c>
      <c r="K20" s="115">
        <v>4000</v>
      </c>
      <c r="L20" s="115">
        <v>0</v>
      </c>
      <c r="M20" s="115">
        <f t="shared" si="2"/>
        <v>4000</v>
      </c>
      <c r="N20" s="828">
        <v>2024003630029</v>
      </c>
      <c r="O20" s="826" t="s">
        <v>2503</v>
      </c>
      <c r="P20" s="513" t="s">
        <v>2531</v>
      </c>
      <c r="Q20" s="139">
        <v>25000000</v>
      </c>
      <c r="R20" s="138">
        <v>0</v>
      </c>
      <c r="S20" s="139">
        <v>0</v>
      </c>
      <c r="T20" s="139">
        <v>0</v>
      </c>
      <c r="U20" s="454">
        <f t="shared" si="0"/>
        <v>25000000</v>
      </c>
      <c r="V20" s="458" t="s">
        <v>2534</v>
      </c>
      <c r="W20" s="23" t="s">
        <v>2511</v>
      </c>
      <c r="X20" s="28" t="s">
        <v>2512</v>
      </c>
      <c r="Y20" s="829">
        <v>13860</v>
      </c>
      <c r="Z20" s="830">
        <v>6090</v>
      </c>
      <c r="AA20" s="830">
        <v>1650</v>
      </c>
      <c r="AB20" s="830">
        <v>4420</v>
      </c>
      <c r="AC20" s="830">
        <v>8130</v>
      </c>
      <c r="AD20" s="830">
        <v>5750</v>
      </c>
      <c r="AE20" s="115"/>
      <c r="AF20" s="115"/>
      <c r="AG20" s="115"/>
      <c r="AH20" s="115"/>
      <c r="AI20" s="115"/>
      <c r="AJ20" s="115"/>
      <c r="AK20" s="115"/>
      <c r="AL20" s="115"/>
      <c r="AM20" s="115"/>
      <c r="AN20" s="115">
        <f t="shared" si="1"/>
        <v>19950</v>
      </c>
      <c r="AO20" s="144">
        <v>46024</v>
      </c>
      <c r="AP20" s="144">
        <v>46387</v>
      </c>
      <c r="AQ20" s="115" t="s">
        <v>2508</v>
      </c>
    </row>
    <row r="21" spans="1:43" ht="108" customHeight="1">
      <c r="A21" s="822">
        <v>1</v>
      </c>
      <c r="B21" s="823" t="s">
        <v>2498</v>
      </c>
      <c r="C21" s="824">
        <v>43</v>
      </c>
      <c r="D21" s="825" t="s">
        <v>2499</v>
      </c>
      <c r="E21" s="824">
        <v>4301</v>
      </c>
      <c r="F21" s="826" t="s">
        <v>2500</v>
      </c>
      <c r="G21" s="115">
        <v>4301032</v>
      </c>
      <c r="H21" s="456" t="s">
        <v>2530</v>
      </c>
      <c r="I21" s="115">
        <v>430103201</v>
      </c>
      <c r="J21" s="456" t="s">
        <v>707</v>
      </c>
      <c r="K21" s="115">
        <v>4000</v>
      </c>
      <c r="L21" s="115">
        <v>0</v>
      </c>
      <c r="M21" s="115">
        <f t="shared" si="2"/>
        <v>4000</v>
      </c>
      <c r="N21" s="828">
        <v>2024003630029</v>
      </c>
      <c r="O21" s="826" t="s">
        <v>2503</v>
      </c>
      <c r="P21" s="513" t="s">
        <v>2531</v>
      </c>
      <c r="Q21" s="139">
        <v>20000000</v>
      </c>
      <c r="R21" s="138">
        <v>0</v>
      </c>
      <c r="S21" s="139">
        <v>0</v>
      </c>
      <c r="T21" s="139">
        <v>0</v>
      </c>
      <c r="U21" s="454">
        <f t="shared" si="0"/>
        <v>20000000</v>
      </c>
      <c r="V21" s="458" t="s">
        <v>2535</v>
      </c>
      <c r="W21" s="23" t="s">
        <v>2522</v>
      </c>
      <c r="X21" s="28" t="s">
        <v>2523</v>
      </c>
      <c r="Y21" s="829">
        <v>13860</v>
      </c>
      <c r="Z21" s="830">
        <v>6090</v>
      </c>
      <c r="AA21" s="830">
        <v>1650</v>
      </c>
      <c r="AB21" s="830">
        <v>4420</v>
      </c>
      <c r="AC21" s="830">
        <v>8130</v>
      </c>
      <c r="AD21" s="830">
        <v>5750</v>
      </c>
      <c r="AE21" s="115"/>
      <c r="AF21" s="115"/>
      <c r="AG21" s="115"/>
      <c r="AH21" s="115"/>
      <c r="AI21" s="115"/>
      <c r="AJ21" s="115"/>
      <c r="AK21" s="115"/>
      <c r="AL21" s="115"/>
      <c r="AM21" s="115"/>
      <c r="AN21" s="115">
        <f t="shared" si="1"/>
        <v>19950</v>
      </c>
      <c r="AO21" s="144">
        <v>46024</v>
      </c>
      <c r="AP21" s="144">
        <v>46387</v>
      </c>
      <c r="AQ21" s="115" t="s">
        <v>2508</v>
      </c>
    </row>
    <row r="22" spans="1:43" ht="108" customHeight="1">
      <c r="A22" s="822">
        <v>1</v>
      </c>
      <c r="B22" s="823" t="s">
        <v>2498</v>
      </c>
      <c r="C22" s="824">
        <v>43</v>
      </c>
      <c r="D22" s="825" t="s">
        <v>2499</v>
      </c>
      <c r="E22" s="824">
        <v>4301</v>
      </c>
      <c r="F22" s="826" t="s">
        <v>2500</v>
      </c>
      <c r="G22" s="115">
        <v>4301032</v>
      </c>
      <c r="H22" s="456" t="s">
        <v>2530</v>
      </c>
      <c r="I22" s="115">
        <v>430103201</v>
      </c>
      <c r="J22" s="456" t="s">
        <v>707</v>
      </c>
      <c r="K22" s="115">
        <v>4000</v>
      </c>
      <c r="L22" s="115">
        <v>0</v>
      </c>
      <c r="M22" s="115">
        <f t="shared" si="2"/>
        <v>4000</v>
      </c>
      <c r="N22" s="828">
        <v>2024003630029</v>
      </c>
      <c r="O22" s="826" t="s">
        <v>2503</v>
      </c>
      <c r="P22" s="513" t="s">
        <v>2536</v>
      </c>
      <c r="Q22" s="139">
        <v>200000000</v>
      </c>
      <c r="R22" s="138">
        <v>0</v>
      </c>
      <c r="S22" s="139">
        <v>0</v>
      </c>
      <c r="T22" s="139">
        <v>0</v>
      </c>
      <c r="U22" s="454">
        <f t="shared" si="0"/>
        <v>200000000</v>
      </c>
      <c r="V22" s="458" t="s">
        <v>2537</v>
      </c>
      <c r="W22" s="23" t="s">
        <v>2511</v>
      </c>
      <c r="X22" s="28" t="s">
        <v>2512</v>
      </c>
      <c r="Y22" s="829">
        <v>13860</v>
      </c>
      <c r="Z22" s="830">
        <v>6090</v>
      </c>
      <c r="AA22" s="830">
        <v>1650</v>
      </c>
      <c r="AB22" s="830">
        <v>4420</v>
      </c>
      <c r="AC22" s="830">
        <v>8130</v>
      </c>
      <c r="AD22" s="830">
        <v>5750</v>
      </c>
      <c r="AE22" s="115"/>
      <c r="AF22" s="115"/>
      <c r="AG22" s="115"/>
      <c r="AH22" s="115"/>
      <c r="AI22" s="115"/>
      <c r="AJ22" s="115"/>
      <c r="AK22" s="115"/>
      <c r="AL22" s="115"/>
      <c r="AM22" s="115"/>
      <c r="AN22" s="115">
        <f t="shared" si="1"/>
        <v>19950</v>
      </c>
      <c r="AO22" s="144">
        <v>46024</v>
      </c>
      <c r="AP22" s="144">
        <v>46387</v>
      </c>
      <c r="AQ22" s="115" t="s">
        <v>2508</v>
      </c>
    </row>
    <row r="23" spans="1:43" ht="108" customHeight="1">
      <c r="A23" s="822">
        <v>1</v>
      </c>
      <c r="B23" s="823" t="s">
        <v>2498</v>
      </c>
      <c r="C23" s="824">
        <v>43</v>
      </c>
      <c r="D23" s="825" t="s">
        <v>2499</v>
      </c>
      <c r="E23" s="824">
        <v>4301</v>
      </c>
      <c r="F23" s="826" t="s">
        <v>2500</v>
      </c>
      <c r="G23" s="115">
        <v>4301035</v>
      </c>
      <c r="H23" s="456" t="s">
        <v>2538</v>
      </c>
      <c r="I23" s="115">
        <v>430103500</v>
      </c>
      <c r="J23" s="456" t="s">
        <v>565</v>
      </c>
      <c r="K23" s="115">
        <v>300</v>
      </c>
      <c r="L23" s="115">
        <v>0</v>
      </c>
      <c r="M23" s="115">
        <f t="shared" si="2"/>
        <v>300</v>
      </c>
      <c r="N23" s="828">
        <v>2024003630029</v>
      </c>
      <c r="O23" s="826" t="s">
        <v>2503</v>
      </c>
      <c r="P23" s="513" t="s">
        <v>2536</v>
      </c>
      <c r="Q23" s="139">
        <v>30000000</v>
      </c>
      <c r="R23" s="138">
        <v>0</v>
      </c>
      <c r="S23" s="139">
        <v>0</v>
      </c>
      <c r="T23" s="139">
        <v>0</v>
      </c>
      <c r="U23" s="454">
        <f t="shared" si="0"/>
        <v>30000000</v>
      </c>
      <c r="V23" s="458" t="s">
        <v>2539</v>
      </c>
      <c r="W23" s="23" t="s">
        <v>2511</v>
      </c>
      <c r="X23" s="28" t="s">
        <v>2512</v>
      </c>
      <c r="Y23" s="829">
        <v>13860</v>
      </c>
      <c r="Z23" s="830">
        <v>6090</v>
      </c>
      <c r="AA23" s="830">
        <v>1650</v>
      </c>
      <c r="AB23" s="830">
        <v>4420</v>
      </c>
      <c r="AC23" s="830">
        <v>8130</v>
      </c>
      <c r="AD23" s="830">
        <v>5750</v>
      </c>
      <c r="AE23" s="115"/>
      <c r="AF23" s="115"/>
      <c r="AG23" s="115"/>
      <c r="AH23" s="115"/>
      <c r="AI23" s="115"/>
      <c r="AJ23" s="115"/>
      <c r="AK23" s="115"/>
      <c r="AL23" s="115"/>
      <c r="AM23" s="115"/>
      <c r="AN23" s="115">
        <f t="shared" si="1"/>
        <v>19950</v>
      </c>
      <c r="AO23" s="144">
        <v>46024</v>
      </c>
      <c r="AP23" s="144">
        <v>46387</v>
      </c>
      <c r="AQ23" s="115" t="s">
        <v>2508</v>
      </c>
    </row>
    <row r="24" spans="1:43" ht="108" customHeight="1">
      <c r="A24" s="822">
        <v>1</v>
      </c>
      <c r="B24" s="823" t="s">
        <v>2498</v>
      </c>
      <c r="C24" s="824">
        <v>43</v>
      </c>
      <c r="D24" s="825" t="s">
        <v>2499</v>
      </c>
      <c r="E24" s="824">
        <v>4301</v>
      </c>
      <c r="F24" s="826" t="s">
        <v>2500</v>
      </c>
      <c r="G24" s="115">
        <v>4301037</v>
      </c>
      <c r="H24" s="456" t="s">
        <v>2540</v>
      </c>
      <c r="I24" s="115">
        <v>430103700</v>
      </c>
      <c r="J24" s="456" t="s">
        <v>2541</v>
      </c>
      <c r="K24" s="115">
        <v>15000</v>
      </c>
      <c r="L24" s="115">
        <v>0</v>
      </c>
      <c r="M24" s="115">
        <f t="shared" si="2"/>
        <v>15000</v>
      </c>
      <c r="N24" s="828">
        <v>2024003630029</v>
      </c>
      <c r="O24" s="826" t="s">
        <v>2503</v>
      </c>
      <c r="P24" s="513" t="s">
        <v>2542</v>
      </c>
      <c r="Q24" s="139">
        <v>10000000</v>
      </c>
      <c r="R24" s="138">
        <v>0</v>
      </c>
      <c r="S24" s="139">
        <v>0</v>
      </c>
      <c r="T24" s="139">
        <v>0</v>
      </c>
      <c r="U24" s="454">
        <f t="shared" si="0"/>
        <v>10000000</v>
      </c>
      <c r="V24" s="458" t="s">
        <v>2543</v>
      </c>
      <c r="W24" s="23" t="s">
        <v>2522</v>
      </c>
      <c r="X24" s="28" t="s">
        <v>2523</v>
      </c>
      <c r="Y24" s="829">
        <v>13860</v>
      </c>
      <c r="Z24" s="830">
        <v>6090</v>
      </c>
      <c r="AA24" s="830">
        <v>1650</v>
      </c>
      <c r="AB24" s="830">
        <v>4420</v>
      </c>
      <c r="AC24" s="830">
        <v>8130</v>
      </c>
      <c r="AD24" s="830">
        <v>5750</v>
      </c>
      <c r="AE24" s="115"/>
      <c r="AF24" s="115"/>
      <c r="AG24" s="115"/>
      <c r="AH24" s="115"/>
      <c r="AI24" s="115"/>
      <c r="AJ24" s="115"/>
      <c r="AK24" s="115"/>
      <c r="AL24" s="115"/>
      <c r="AM24" s="115"/>
      <c r="AN24" s="115">
        <f t="shared" si="1"/>
        <v>19950</v>
      </c>
      <c r="AO24" s="144">
        <v>46024</v>
      </c>
      <c r="AP24" s="144">
        <v>46387</v>
      </c>
      <c r="AQ24" s="115" t="s">
        <v>2508</v>
      </c>
    </row>
    <row r="25" spans="1:43" ht="108" customHeight="1">
      <c r="A25" s="822">
        <v>1</v>
      </c>
      <c r="B25" s="823" t="s">
        <v>2498</v>
      </c>
      <c r="C25" s="824">
        <v>43</v>
      </c>
      <c r="D25" s="825" t="s">
        <v>2499</v>
      </c>
      <c r="E25" s="824">
        <v>4301</v>
      </c>
      <c r="F25" s="826" t="s">
        <v>2500</v>
      </c>
      <c r="G25" s="115">
        <v>4301037</v>
      </c>
      <c r="H25" s="456" t="s">
        <v>2540</v>
      </c>
      <c r="I25" s="115">
        <v>430103700</v>
      </c>
      <c r="J25" s="456" t="s">
        <v>2541</v>
      </c>
      <c r="K25" s="115">
        <v>15000</v>
      </c>
      <c r="L25" s="115">
        <v>0</v>
      </c>
      <c r="M25" s="115">
        <f t="shared" si="2"/>
        <v>15000</v>
      </c>
      <c r="N25" s="828">
        <v>2024003630029</v>
      </c>
      <c r="O25" s="826" t="s">
        <v>2503</v>
      </c>
      <c r="P25" s="513" t="s">
        <v>2542</v>
      </c>
      <c r="Q25" s="139">
        <v>15000000</v>
      </c>
      <c r="R25" s="138">
        <v>0</v>
      </c>
      <c r="S25" s="139">
        <v>0</v>
      </c>
      <c r="T25" s="139">
        <v>0</v>
      </c>
      <c r="U25" s="454">
        <f t="shared" si="0"/>
        <v>15000000</v>
      </c>
      <c r="V25" s="458" t="s">
        <v>2544</v>
      </c>
      <c r="W25" s="23" t="s">
        <v>2511</v>
      </c>
      <c r="X25" s="28" t="s">
        <v>2512</v>
      </c>
      <c r="Y25" s="829">
        <v>13860</v>
      </c>
      <c r="Z25" s="830">
        <v>6090</v>
      </c>
      <c r="AA25" s="830">
        <v>1650</v>
      </c>
      <c r="AB25" s="830">
        <v>4420</v>
      </c>
      <c r="AC25" s="830">
        <v>8130</v>
      </c>
      <c r="AD25" s="830">
        <v>5750</v>
      </c>
      <c r="AE25" s="115"/>
      <c r="AF25" s="115"/>
      <c r="AG25" s="115"/>
      <c r="AH25" s="115"/>
      <c r="AI25" s="115"/>
      <c r="AJ25" s="115"/>
      <c r="AK25" s="115"/>
      <c r="AL25" s="115"/>
      <c r="AM25" s="115"/>
      <c r="AN25" s="115">
        <f t="shared" si="1"/>
        <v>19950</v>
      </c>
      <c r="AO25" s="144">
        <v>46024</v>
      </c>
      <c r="AP25" s="144">
        <v>46387</v>
      </c>
      <c r="AQ25" s="115" t="s">
        <v>2508</v>
      </c>
    </row>
    <row r="26" spans="1:43" ht="108" customHeight="1">
      <c r="A26" s="822">
        <v>1</v>
      </c>
      <c r="B26" s="823" t="s">
        <v>2498</v>
      </c>
      <c r="C26" s="824">
        <v>43</v>
      </c>
      <c r="D26" s="825" t="s">
        <v>2499</v>
      </c>
      <c r="E26" s="824">
        <v>4301</v>
      </c>
      <c r="F26" s="826" t="s">
        <v>2500</v>
      </c>
      <c r="G26" s="115">
        <v>4301037</v>
      </c>
      <c r="H26" s="456" t="s">
        <v>2540</v>
      </c>
      <c r="I26" s="115">
        <v>430103700</v>
      </c>
      <c r="J26" s="456" t="s">
        <v>2541</v>
      </c>
      <c r="K26" s="115">
        <v>15000</v>
      </c>
      <c r="L26" s="115">
        <v>0</v>
      </c>
      <c r="M26" s="115">
        <f t="shared" si="2"/>
        <v>15000</v>
      </c>
      <c r="N26" s="828">
        <v>2024003630029</v>
      </c>
      <c r="O26" s="826" t="s">
        <v>2503</v>
      </c>
      <c r="P26" s="513" t="s">
        <v>2542</v>
      </c>
      <c r="Q26" s="139">
        <v>100000000</v>
      </c>
      <c r="R26" s="138">
        <v>0</v>
      </c>
      <c r="S26" s="139">
        <v>0</v>
      </c>
      <c r="T26" s="139">
        <v>0</v>
      </c>
      <c r="U26" s="454">
        <f t="shared" si="0"/>
        <v>100000000</v>
      </c>
      <c r="V26" s="458" t="s">
        <v>2545</v>
      </c>
      <c r="W26" s="23" t="s">
        <v>2511</v>
      </c>
      <c r="X26" s="28" t="s">
        <v>2512</v>
      </c>
      <c r="Y26" s="829">
        <v>13860</v>
      </c>
      <c r="Z26" s="830">
        <v>6090</v>
      </c>
      <c r="AA26" s="830">
        <v>1650</v>
      </c>
      <c r="AB26" s="830">
        <v>4420</v>
      </c>
      <c r="AC26" s="830">
        <v>8130</v>
      </c>
      <c r="AD26" s="830">
        <v>5750</v>
      </c>
      <c r="AE26" s="115"/>
      <c r="AF26" s="115"/>
      <c r="AG26" s="115"/>
      <c r="AH26" s="115"/>
      <c r="AI26" s="115"/>
      <c r="AJ26" s="115"/>
      <c r="AK26" s="115"/>
      <c r="AL26" s="115"/>
      <c r="AM26" s="115"/>
      <c r="AN26" s="115">
        <f t="shared" si="1"/>
        <v>19950</v>
      </c>
      <c r="AO26" s="144">
        <v>46024</v>
      </c>
      <c r="AP26" s="144">
        <v>46387</v>
      </c>
      <c r="AQ26" s="115" t="s">
        <v>2508</v>
      </c>
    </row>
    <row r="27" spans="1:43" ht="108" customHeight="1">
      <c r="A27" s="822">
        <v>1</v>
      </c>
      <c r="B27" s="823" t="s">
        <v>2498</v>
      </c>
      <c r="C27" s="824">
        <v>43</v>
      </c>
      <c r="D27" s="825" t="s">
        <v>2499</v>
      </c>
      <c r="E27" s="824">
        <v>4301</v>
      </c>
      <c r="F27" s="826" t="s">
        <v>2500</v>
      </c>
      <c r="G27" s="115">
        <v>4301037</v>
      </c>
      <c r="H27" s="456" t="s">
        <v>2540</v>
      </c>
      <c r="I27" s="115">
        <v>430103700</v>
      </c>
      <c r="J27" s="456" t="s">
        <v>2541</v>
      </c>
      <c r="K27" s="115">
        <v>15000</v>
      </c>
      <c r="L27" s="115">
        <v>0</v>
      </c>
      <c r="M27" s="115">
        <f t="shared" si="2"/>
        <v>15000</v>
      </c>
      <c r="N27" s="828">
        <v>2024003630029</v>
      </c>
      <c r="O27" s="826" t="s">
        <v>2503</v>
      </c>
      <c r="P27" s="513" t="s">
        <v>2542</v>
      </c>
      <c r="Q27" s="139">
        <v>20322807.350000001</v>
      </c>
      <c r="R27" s="138">
        <v>0</v>
      </c>
      <c r="S27" s="139">
        <v>0</v>
      </c>
      <c r="T27" s="139">
        <v>0</v>
      </c>
      <c r="U27" s="831">
        <f t="shared" si="0"/>
        <v>20322807.350000001</v>
      </c>
      <c r="V27" s="458" t="s">
        <v>2546</v>
      </c>
      <c r="W27" s="23" t="s">
        <v>2506</v>
      </c>
      <c r="X27" s="28" t="s">
        <v>2507</v>
      </c>
      <c r="Y27" s="829">
        <v>13860</v>
      </c>
      <c r="Z27" s="830">
        <v>6090</v>
      </c>
      <c r="AA27" s="830">
        <v>1650</v>
      </c>
      <c r="AB27" s="830">
        <v>4420</v>
      </c>
      <c r="AC27" s="830">
        <v>8130</v>
      </c>
      <c r="AD27" s="830">
        <v>5750</v>
      </c>
      <c r="AE27" s="115"/>
      <c r="AF27" s="115"/>
      <c r="AG27" s="115"/>
      <c r="AH27" s="115"/>
      <c r="AI27" s="115"/>
      <c r="AJ27" s="115"/>
      <c r="AK27" s="115"/>
      <c r="AL27" s="115"/>
      <c r="AM27" s="115"/>
      <c r="AN27" s="115">
        <f t="shared" si="1"/>
        <v>19950</v>
      </c>
      <c r="AO27" s="144">
        <v>46024</v>
      </c>
      <c r="AP27" s="144">
        <v>46387</v>
      </c>
      <c r="AQ27" s="115" t="s">
        <v>2508</v>
      </c>
    </row>
    <row r="28" spans="1:43" ht="108" customHeight="1">
      <c r="A28" s="822">
        <v>1</v>
      </c>
      <c r="B28" s="823" t="s">
        <v>2498</v>
      </c>
      <c r="C28" s="824">
        <v>43</v>
      </c>
      <c r="D28" s="825" t="s">
        <v>2499</v>
      </c>
      <c r="E28" s="824">
        <v>4301</v>
      </c>
      <c r="F28" s="826" t="s">
        <v>2500</v>
      </c>
      <c r="G28" s="115">
        <v>4301037</v>
      </c>
      <c r="H28" s="456" t="s">
        <v>2540</v>
      </c>
      <c r="I28" s="115">
        <v>430103700</v>
      </c>
      <c r="J28" s="456" t="s">
        <v>2541</v>
      </c>
      <c r="K28" s="115">
        <v>15000</v>
      </c>
      <c r="L28" s="115">
        <v>0</v>
      </c>
      <c r="M28" s="115">
        <f t="shared" si="2"/>
        <v>15000</v>
      </c>
      <c r="N28" s="828">
        <v>2024003630029</v>
      </c>
      <c r="O28" s="826" t="s">
        <v>2503</v>
      </c>
      <c r="P28" s="513" t="s">
        <v>2542</v>
      </c>
      <c r="Q28" s="139">
        <v>16472349.32</v>
      </c>
      <c r="R28" s="138">
        <v>0</v>
      </c>
      <c r="S28" s="139">
        <v>0</v>
      </c>
      <c r="T28" s="139">
        <v>0</v>
      </c>
      <c r="U28" s="831">
        <f t="shared" si="0"/>
        <v>16472349.32</v>
      </c>
      <c r="V28" s="458" t="s">
        <v>2547</v>
      </c>
      <c r="W28" s="23" t="s">
        <v>2516</v>
      </c>
      <c r="X28" s="28" t="s">
        <v>2517</v>
      </c>
      <c r="Y28" s="829">
        <v>13860</v>
      </c>
      <c r="Z28" s="830">
        <v>6090</v>
      </c>
      <c r="AA28" s="830">
        <v>1650</v>
      </c>
      <c r="AB28" s="830">
        <v>4420</v>
      </c>
      <c r="AC28" s="830">
        <v>8130</v>
      </c>
      <c r="AD28" s="830">
        <v>5750</v>
      </c>
      <c r="AE28" s="115"/>
      <c r="AF28" s="115"/>
      <c r="AG28" s="115"/>
      <c r="AH28" s="115"/>
      <c r="AI28" s="115"/>
      <c r="AJ28" s="115"/>
      <c r="AK28" s="115"/>
      <c r="AL28" s="115"/>
      <c r="AM28" s="115"/>
      <c r="AN28" s="115">
        <f t="shared" si="1"/>
        <v>19950</v>
      </c>
      <c r="AO28" s="144">
        <v>46024</v>
      </c>
      <c r="AP28" s="144">
        <v>46387</v>
      </c>
      <c r="AQ28" s="115" t="s">
        <v>2508</v>
      </c>
    </row>
    <row r="29" spans="1:43" ht="108" customHeight="1">
      <c r="A29" s="822">
        <v>1</v>
      </c>
      <c r="B29" s="823" t="s">
        <v>2498</v>
      </c>
      <c r="C29" s="824">
        <v>43</v>
      </c>
      <c r="D29" s="825" t="s">
        <v>2499</v>
      </c>
      <c r="E29" s="824">
        <v>4301</v>
      </c>
      <c r="F29" s="826" t="s">
        <v>2500</v>
      </c>
      <c r="G29" s="115">
        <v>4301037</v>
      </c>
      <c r="H29" s="456" t="s">
        <v>2540</v>
      </c>
      <c r="I29" s="115">
        <v>430103700</v>
      </c>
      <c r="J29" s="456" t="s">
        <v>2541</v>
      </c>
      <c r="K29" s="115">
        <v>15000</v>
      </c>
      <c r="L29" s="115">
        <v>0</v>
      </c>
      <c r="M29" s="115">
        <f t="shared" si="2"/>
        <v>15000</v>
      </c>
      <c r="N29" s="828">
        <v>2024003630029</v>
      </c>
      <c r="O29" s="826" t="s">
        <v>2503</v>
      </c>
      <c r="P29" s="513" t="s">
        <v>2542</v>
      </c>
      <c r="Q29" s="139">
        <v>20000000</v>
      </c>
      <c r="R29" s="138">
        <v>0</v>
      </c>
      <c r="S29" s="139">
        <v>0</v>
      </c>
      <c r="T29" s="139">
        <v>0</v>
      </c>
      <c r="U29" s="454">
        <f t="shared" si="0"/>
        <v>20000000</v>
      </c>
      <c r="V29" s="458" t="s">
        <v>2548</v>
      </c>
      <c r="W29" s="23" t="s">
        <v>2522</v>
      </c>
      <c r="X29" s="28" t="s">
        <v>2523</v>
      </c>
      <c r="Y29" s="829">
        <v>13860</v>
      </c>
      <c r="Z29" s="830">
        <v>6090</v>
      </c>
      <c r="AA29" s="830">
        <v>1650</v>
      </c>
      <c r="AB29" s="830">
        <v>4420</v>
      </c>
      <c r="AC29" s="830">
        <v>8130</v>
      </c>
      <c r="AD29" s="830">
        <v>5750</v>
      </c>
      <c r="AE29" s="115"/>
      <c r="AF29" s="115"/>
      <c r="AG29" s="115"/>
      <c r="AH29" s="115"/>
      <c r="AI29" s="115"/>
      <c r="AJ29" s="115"/>
      <c r="AK29" s="115"/>
      <c r="AL29" s="115"/>
      <c r="AM29" s="115"/>
      <c r="AN29" s="115">
        <f t="shared" si="1"/>
        <v>19950</v>
      </c>
      <c r="AO29" s="144">
        <v>46024</v>
      </c>
      <c r="AP29" s="144">
        <v>46387</v>
      </c>
      <c r="AQ29" s="115" t="s">
        <v>2508</v>
      </c>
    </row>
    <row r="30" spans="1:43" ht="108" customHeight="1">
      <c r="A30" s="822">
        <v>1</v>
      </c>
      <c r="B30" s="823" t="s">
        <v>2498</v>
      </c>
      <c r="C30" s="824">
        <v>43</v>
      </c>
      <c r="D30" s="825" t="s">
        <v>2499</v>
      </c>
      <c r="E30" s="824">
        <v>4301</v>
      </c>
      <c r="F30" s="826" t="s">
        <v>2500</v>
      </c>
      <c r="G30" s="115">
        <v>4301037</v>
      </c>
      <c r="H30" s="456" t="s">
        <v>2540</v>
      </c>
      <c r="I30" s="115">
        <v>430103700</v>
      </c>
      <c r="J30" s="456" t="s">
        <v>2541</v>
      </c>
      <c r="K30" s="115">
        <v>15000</v>
      </c>
      <c r="L30" s="115">
        <v>0</v>
      </c>
      <c r="M30" s="115">
        <f t="shared" si="2"/>
        <v>15000</v>
      </c>
      <c r="N30" s="828">
        <v>2024003630029</v>
      </c>
      <c r="O30" s="826" t="s">
        <v>2503</v>
      </c>
      <c r="P30" s="513" t="s">
        <v>2542</v>
      </c>
      <c r="Q30" s="139">
        <v>10000000</v>
      </c>
      <c r="R30" s="138">
        <v>0</v>
      </c>
      <c r="S30" s="139">
        <v>0</v>
      </c>
      <c r="T30" s="139">
        <v>0</v>
      </c>
      <c r="U30" s="454">
        <f t="shared" si="0"/>
        <v>10000000</v>
      </c>
      <c r="V30" s="458" t="s">
        <v>2549</v>
      </c>
      <c r="W30" s="23" t="s">
        <v>2522</v>
      </c>
      <c r="X30" s="28" t="s">
        <v>2523</v>
      </c>
      <c r="Y30" s="829">
        <v>13860</v>
      </c>
      <c r="Z30" s="830">
        <v>6090</v>
      </c>
      <c r="AA30" s="830">
        <v>1650</v>
      </c>
      <c r="AB30" s="830">
        <v>4420</v>
      </c>
      <c r="AC30" s="830">
        <v>8130</v>
      </c>
      <c r="AD30" s="830">
        <v>5750</v>
      </c>
      <c r="AE30" s="115"/>
      <c r="AF30" s="115"/>
      <c r="AG30" s="115"/>
      <c r="AH30" s="115"/>
      <c r="AI30" s="115"/>
      <c r="AJ30" s="115"/>
      <c r="AK30" s="115"/>
      <c r="AL30" s="115"/>
      <c r="AM30" s="115"/>
      <c r="AN30" s="115">
        <f t="shared" si="1"/>
        <v>19950</v>
      </c>
      <c r="AO30" s="144">
        <v>46024</v>
      </c>
      <c r="AP30" s="144">
        <v>46387</v>
      </c>
      <c r="AQ30" s="115" t="s">
        <v>2508</v>
      </c>
    </row>
    <row r="31" spans="1:43" ht="108" customHeight="1">
      <c r="A31" s="822">
        <v>1</v>
      </c>
      <c r="B31" s="823" t="s">
        <v>2498</v>
      </c>
      <c r="C31" s="824">
        <v>43</v>
      </c>
      <c r="D31" s="825" t="s">
        <v>2499</v>
      </c>
      <c r="E31" s="824">
        <v>4301</v>
      </c>
      <c r="F31" s="826" t="s">
        <v>2500</v>
      </c>
      <c r="G31" s="115">
        <v>4301037</v>
      </c>
      <c r="H31" s="456" t="s">
        <v>2540</v>
      </c>
      <c r="I31" s="115">
        <v>430103700</v>
      </c>
      <c r="J31" s="456" t="s">
        <v>2541</v>
      </c>
      <c r="K31" s="115">
        <v>15000</v>
      </c>
      <c r="L31" s="115">
        <v>0</v>
      </c>
      <c r="M31" s="115">
        <f t="shared" si="2"/>
        <v>15000</v>
      </c>
      <c r="N31" s="828">
        <v>2024003630029</v>
      </c>
      <c r="O31" s="826" t="s">
        <v>2503</v>
      </c>
      <c r="P31" s="513" t="s">
        <v>2542</v>
      </c>
      <c r="Q31" s="139">
        <v>25000000</v>
      </c>
      <c r="R31" s="138">
        <v>0</v>
      </c>
      <c r="S31" s="139">
        <v>0</v>
      </c>
      <c r="T31" s="139">
        <v>0</v>
      </c>
      <c r="U31" s="454">
        <f t="shared" si="0"/>
        <v>25000000</v>
      </c>
      <c r="V31" s="458" t="s">
        <v>2550</v>
      </c>
      <c r="W31" s="23" t="s">
        <v>2511</v>
      </c>
      <c r="X31" s="28" t="s">
        <v>2512</v>
      </c>
      <c r="Y31" s="829">
        <v>13860</v>
      </c>
      <c r="Z31" s="830">
        <v>6090</v>
      </c>
      <c r="AA31" s="830">
        <v>1650</v>
      </c>
      <c r="AB31" s="830">
        <v>4420</v>
      </c>
      <c r="AC31" s="830">
        <v>8130</v>
      </c>
      <c r="AD31" s="830">
        <v>5750</v>
      </c>
      <c r="AE31" s="115"/>
      <c r="AF31" s="115"/>
      <c r="AG31" s="115"/>
      <c r="AH31" s="115"/>
      <c r="AI31" s="115"/>
      <c r="AJ31" s="115"/>
      <c r="AK31" s="115"/>
      <c r="AL31" s="115"/>
      <c r="AM31" s="115"/>
      <c r="AN31" s="115">
        <f t="shared" si="1"/>
        <v>19950</v>
      </c>
      <c r="AO31" s="144">
        <v>46024</v>
      </c>
      <c r="AP31" s="144">
        <v>46387</v>
      </c>
      <c r="AQ31" s="115" t="s">
        <v>2508</v>
      </c>
    </row>
    <row r="32" spans="1:43" ht="108" customHeight="1">
      <c r="A32" s="822">
        <v>1</v>
      </c>
      <c r="B32" s="823" t="s">
        <v>2498</v>
      </c>
      <c r="C32" s="824">
        <v>43</v>
      </c>
      <c r="D32" s="825" t="s">
        <v>2499</v>
      </c>
      <c r="E32" s="824">
        <v>4301</v>
      </c>
      <c r="F32" s="826" t="s">
        <v>2500</v>
      </c>
      <c r="G32" s="115">
        <v>4301037</v>
      </c>
      <c r="H32" s="456" t="s">
        <v>2540</v>
      </c>
      <c r="I32" s="115">
        <v>430103700</v>
      </c>
      <c r="J32" s="456" t="s">
        <v>2541</v>
      </c>
      <c r="K32" s="115">
        <v>15000</v>
      </c>
      <c r="L32" s="115">
        <v>0</v>
      </c>
      <c r="M32" s="115">
        <f t="shared" si="2"/>
        <v>15000</v>
      </c>
      <c r="N32" s="828">
        <v>2024003630029</v>
      </c>
      <c r="O32" s="826" t="s">
        <v>2503</v>
      </c>
      <c r="P32" s="513" t="s">
        <v>2542</v>
      </c>
      <c r="Q32" s="139">
        <v>80000000</v>
      </c>
      <c r="R32" s="138">
        <v>0</v>
      </c>
      <c r="S32" s="139">
        <v>0</v>
      </c>
      <c r="T32" s="139">
        <v>0</v>
      </c>
      <c r="U32" s="454">
        <f t="shared" si="0"/>
        <v>80000000</v>
      </c>
      <c r="V32" s="458" t="s">
        <v>2551</v>
      </c>
      <c r="W32" s="23" t="s">
        <v>2511</v>
      </c>
      <c r="X32" s="28" t="s">
        <v>2512</v>
      </c>
      <c r="Y32" s="829">
        <v>13860</v>
      </c>
      <c r="Z32" s="830">
        <v>6090</v>
      </c>
      <c r="AA32" s="830">
        <v>1650</v>
      </c>
      <c r="AB32" s="830">
        <v>4420</v>
      </c>
      <c r="AC32" s="830">
        <v>8130</v>
      </c>
      <c r="AD32" s="830">
        <v>5750</v>
      </c>
      <c r="AE32" s="115"/>
      <c r="AF32" s="115"/>
      <c r="AG32" s="115"/>
      <c r="AH32" s="115"/>
      <c r="AI32" s="115"/>
      <c r="AJ32" s="115"/>
      <c r="AK32" s="115"/>
      <c r="AL32" s="115"/>
      <c r="AM32" s="115"/>
      <c r="AN32" s="115">
        <f t="shared" si="1"/>
        <v>19950</v>
      </c>
      <c r="AO32" s="144">
        <v>46024</v>
      </c>
      <c r="AP32" s="144">
        <v>46387</v>
      </c>
      <c r="AQ32" s="115" t="s">
        <v>2508</v>
      </c>
    </row>
    <row r="33" spans="1:43" ht="108" customHeight="1">
      <c r="A33" s="822">
        <v>1</v>
      </c>
      <c r="B33" s="823" t="s">
        <v>2498</v>
      </c>
      <c r="C33" s="824">
        <v>43</v>
      </c>
      <c r="D33" s="825" t="s">
        <v>2499</v>
      </c>
      <c r="E33" s="824">
        <v>4301</v>
      </c>
      <c r="F33" s="826" t="s">
        <v>2500</v>
      </c>
      <c r="G33" s="115">
        <v>4301037</v>
      </c>
      <c r="H33" s="456" t="s">
        <v>2540</v>
      </c>
      <c r="I33" s="115">
        <v>430103700</v>
      </c>
      <c r="J33" s="456" t="s">
        <v>2541</v>
      </c>
      <c r="K33" s="115">
        <v>15000</v>
      </c>
      <c r="L33" s="115">
        <v>0</v>
      </c>
      <c r="M33" s="115">
        <f t="shared" si="2"/>
        <v>15000</v>
      </c>
      <c r="N33" s="828">
        <v>2024003630029</v>
      </c>
      <c r="O33" s="826" t="s">
        <v>2503</v>
      </c>
      <c r="P33" s="513" t="s">
        <v>2542</v>
      </c>
      <c r="Q33" s="139">
        <v>8000000</v>
      </c>
      <c r="R33" s="138">
        <v>0</v>
      </c>
      <c r="S33" s="139">
        <v>0</v>
      </c>
      <c r="T33" s="139">
        <v>0</v>
      </c>
      <c r="U33" s="454">
        <f t="shared" si="0"/>
        <v>8000000</v>
      </c>
      <c r="V33" s="458" t="s">
        <v>2552</v>
      </c>
      <c r="W33" s="23" t="s">
        <v>2522</v>
      </c>
      <c r="X33" s="28" t="s">
        <v>2523</v>
      </c>
      <c r="Y33" s="829">
        <v>13860</v>
      </c>
      <c r="Z33" s="830">
        <v>6090</v>
      </c>
      <c r="AA33" s="830">
        <v>1650</v>
      </c>
      <c r="AB33" s="830">
        <v>4420</v>
      </c>
      <c r="AC33" s="830">
        <v>8130</v>
      </c>
      <c r="AD33" s="830">
        <v>5750</v>
      </c>
      <c r="AE33" s="115"/>
      <c r="AF33" s="115"/>
      <c r="AG33" s="115"/>
      <c r="AH33" s="115"/>
      <c r="AI33" s="115"/>
      <c r="AJ33" s="115"/>
      <c r="AK33" s="115"/>
      <c r="AL33" s="115"/>
      <c r="AM33" s="115"/>
      <c r="AN33" s="115">
        <f t="shared" si="1"/>
        <v>19950</v>
      </c>
      <c r="AO33" s="144">
        <v>46024</v>
      </c>
      <c r="AP33" s="144">
        <v>46387</v>
      </c>
      <c r="AQ33" s="115" t="s">
        <v>2508</v>
      </c>
    </row>
    <row r="34" spans="1:43" ht="108" customHeight="1">
      <c r="A34" s="822">
        <v>1</v>
      </c>
      <c r="B34" s="823" t="s">
        <v>2498</v>
      </c>
      <c r="C34" s="824">
        <v>43</v>
      </c>
      <c r="D34" s="825" t="s">
        <v>2499</v>
      </c>
      <c r="E34" s="824">
        <v>4301</v>
      </c>
      <c r="F34" s="826" t="s">
        <v>2500</v>
      </c>
      <c r="G34" s="115">
        <v>4301037</v>
      </c>
      <c r="H34" s="456" t="s">
        <v>2540</v>
      </c>
      <c r="I34" s="115">
        <v>430103700</v>
      </c>
      <c r="J34" s="456" t="s">
        <v>2541</v>
      </c>
      <c r="K34" s="115">
        <v>15000</v>
      </c>
      <c r="L34" s="115">
        <v>0</v>
      </c>
      <c r="M34" s="115">
        <f t="shared" si="2"/>
        <v>15000</v>
      </c>
      <c r="N34" s="828">
        <v>2024003630029</v>
      </c>
      <c r="O34" s="826" t="s">
        <v>2503</v>
      </c>
      <c r="P34" s="513" t="s">
        <v>2542</v>
      </c>
      <c r="Q34" s="139">
        <v>24658178</v>
      </c>
      <c r="R34" s="138">
        <v>0</v>
      </c>
      <c r="S34" s="139">
        <v>0</v>
      </c>
      <c r="T34" s="139">
        <v>0</v>
      </c>
      <c r="U34" s="454">
        <f t="shared" si="0"/>
        <v>24658178</v>
      </c>
      <c r="V34" s="458" t="s">
        <v>2553</v>
      </c>
      <c r="W34" s="23" t="s">
        <v>2511</v>
      </c>
      <c r="X34" s="28" t="s">
        <v>2512</v>
      </c>
      <c r="Y34" s="829">
        <v>13860</v>
      </c>
      <c r="Z34" s="830">
        <v>6090</v>
      </c>
      <c r="AA34" s="830">
        <v>1650</v>
      </c>
      <c r="AB34" s="830">
        <v>4420</v>
      </c>
      <c r="AC34" s="830">
        <v>8130</v>
      </c>
      <c r="AD34" s="830">
        <v>5750</v>
      </c>
      <c r="AE34" s="115"/>
      <c r="AF34" s="115"/>
      <c r="AG34" s="115"/>
      <c r="AH34" s="115"/>
      <c r="AI34" s="115"/>
      <c r="AJ34" s="115"/>
      <c r="AK34" s="115"/>
      <c r="AL34" s="115"/>
      <c r="AM34" s="115"/>
      <c r="AN34" s="115">
        <f t="shared" si="1"/>
        <v>19950</v>
      </c>
      <c r="AO34" s="144">
        <v>46024</v>
      </c>
      <c r="AP34" s="144">
        <v>46387</v>
      </c>
      <c r="AQ34" s="115" t="s">
        <v>2508</v>
      </c>
    </row>
    <row r="35" spans="1:43" ht="108" customHeight="1">
      <c r="A35" s="822">
        <v>1</v>
      </c>
      <c r="B35" s="823" t="s">
        <v>2498</v>
      </c>
      <c r="C35" s="824">
        <v>43</v>
      </c>
      <c r="D35" s="825" t="s">
        <v>2499</v>
      </c>
      <c r="E35" s="824">
        <v>4301</v>
      </c>
      <c r="F35" s="826" t="s">
        <v>2500</v>
      </c>
      <c r="G35" s="115">
        <v>4301037</v>
      </c>
      <c r="H35" s="456" t="s">
        <v>2540</v>
      </c>
      <c r="I35" s="115">
        <v>430103700</v>
      </c>
      <c r="J35" s="456" t="s">
        <v>2541</v>
      </c>
      <c r="K35" s="115">
        <v>15000</v>
      </c>
      <c r="L35" s="115">
        <v>0</v>
      </c>
      <c r="M35" s="115">
        <f t="shared" si="2"/>
        <v>15000</v>
      </c>
      <c r="N35" s="828">
        <v>2024003630029</v>
      </c>
      <c r="O35" s="826" t="s">
        <v>2503</v>
      </c>
      <c r="P35" s="513" t="s">
        <v>2542</v>
      </c>
      <c r="Q35" s="139">
        <v>50000000</v>
      </c>
      <c r="R35" s="138">
        <v>0</v>
      </c>
      <c r="S35" s="139">
        <v>0</v>
      </c>
      <c r="T35" s="139">
        <v>0</v>
      </c>
      <c r="U35" s="831">
        <f t="shared" si="0"/>
        <v>50000000</v>
      </c>
      <c r="V35" s="458" t="s">
        <v>2554</v>
      </c>
      <c r="W35" s="23" t="s">
        <v>2506</v>
      </c>
      <c r="X35" s="28" t="s">
        <v>2507</v>
      </c>
      <c r="Y35" s="829">
        <v>13860</v>
      </c>
      <c r="Z35" s="830">
        <v>6090</v>
      </c>
      <c r="AA35" s="830">
        <v>1650</v>
      </c>
      <c r="AB35" s="830">
        <v>4420</v>
      </c>
      <c r="AC35" s="830">
        <v>8130</v>
      </c>
      <c r="AD35" s="830">
        <v>5750</v>
      </c>
      <c r="AE35" s="115"/>
      <c r="AF35" s="115"/>
      <c r="AG35" s="115"/>
      <c r="AH35" s="115"/>
      <c r="AI35" s="115"/>
      <c r="AJ35" s="115"/>
      <c r="AK35" s="115"/>
      <c r="AL35" s="115"/>
      <c r="AM35" s="115"/>
      <c r="AN35" s="115">
        <f t="shared" si="1"/>
        <v>19950</v>
      </c>
      <c r="AO35" s="144">
        <v>46024</v>
      </c>
      <c r="AP35" s="144">
        <v>46387</v>
      </c>
      <c r="AQ35" s="115" t="s">
        <v>2508</v>
      </c>
    </row>
    <row r="36" spans="1:43" ht="108" customHeight="1">
      <c r="A36" s="822">
        <v>1</v>
      </c>
      <c r="B36" s="823" t="s">
        <v>2498</v>
      </c>
      <c r="C36" s="824">
        <v>43</v>
      </c>
      <c r="D36" s="825" t="s">
        <v>2499</v>
      </c>
      <c r="E36" s="824">
        <v>4301</v>
      </c>
      <c r="F36" s="826" t="s">
        <v>2500</v>
      </c>
      <c r="G36" s="115">
        <v>4301037</v>
      </c>
      <c r="H36" s="456" t="s">
        <v>2540</v>
      </c>
      <c r="I36" s="115">
        <v>430103700</v>
      </c>
      <c r="J36" s="456" t="s">
        <v>2541</v>
      </c>
      <c r="K36" s="115">
        <v>15000</v>
      </c>
      <c r="L36" s="115">
        <v>0</v>
      </c>
      <c r="M36" s="115">
        <f t="shared" si="2"/>
        <v>15000</v>
      </c>
      <c r="N36" s="828">
        <v>2024003630029</v>
      </c>
      <c r="O36" s="826" t="s">
        <v>2503</v>
      </c>
      <c r="P36" s="513" t="s">
        <v>2542</v>
      </c>
      <c r="Q36" s="139">
        <v>35000000</v>
      </c>
      <c r="R36" s="138">
        <v>0</v>
      </c>
      <c r="S36" s="139">
        <v>0</v>
      </c>
      <c r="T36" s="139">
        <v>0</v>
      </c>
      <c r="U36" s="454">
        <f t="shared" si="0"/>
        <v>35000000</v>
      </c>
      <c r="V36" s="458" t="s">
        <v>2555</v>
      </c>
      <c r="W36" s="23" t="s">
        <v>2511</v>
      </c>
      <c r="X36" s="28" t="s">
        <v>2512</v>
      </c>
      <c r="Y36" s="829">
        <v>13860</v>
      </c>
      <c r="Z36" s="830">
        <v>6090</v>
      </c>
      <c r="AA36" s="830">
        <v>1650</v>
      </c>
      <c r="AB36" s="830">
        <v>4420</v>
      </c>
      <c r="AC36" s="830">
        <v>8130</v>
      </c>
      <c r="AD36" s="830">
        <v>5750</v>
      </c>
      <c r="AE36" s="115"/>
      <c r="AF36" s="115"/>
      <c r="AG36" s="115"/>
      <c r="AH36" s="115"/>
      <c r="AI36" s="115"/>
      <c r="AJ36" s="115"/>
      <c r="AK36" s="115"/>
      <c r="AL36" s="115"/>
      <c r="AM36" s="115"/>
      <c r="AN36" s="115">
        <f t="shared" si="1"/>
        <v>19950</v>
      </c>
      <c r="AO36" s="144">
        <v>46024</v>
      </c>
      <c r="AP36" s="144">
        <v>46387</v>
      </c>
      <c r="AQ36" s="115" t="s">
        <v>2508</v>
      </c>
    </row>
    <row r="37" spans="1:43" ht="108" customHeight="1">
      <c r="A37" s="822">
        <v>1</v>
      </c>
      <c r="B37" s="823" t="s">
        <v>2498</v>
      </c>
      <c r="C37" s="824">
        <v>43</v>
      </c>
      <c r="D37" s="825" t="s">
        <v>2499</v>
      </c>
      <c r="E37" s="824">
        <v>4301</v>
      </c>
      <c r="F37" s="826" t="s">
        <v>2500</v>
      </c>
      <c r="G37" s="115">
        <v>4301037</v>
      </c>
      <c r="H37" s="456" t="s">
        <v>2540</v>
      </c>
      <c r="I37" s="115">
        <v>430103700</v>
      </c>
      <c r="J37" s="456" t="s">
        <v>2541</v>
      </c>
      <c r="K37" s="115">
        <v>15000</v>
      </c>
      <c r="L37" s="115">
        <v>0</v>
      </c>
      <c r="M37" s="115">
        <f t="shared" si="2"/>
        <v>15000</v>
      </c>
      <c r="N37" s="828">
        <v>2024003630029</v>
      </c>
      <c r="O37" s="826" t="s">
        <v>2503</v>
      </c>
      <c r="P37" s="513" t="s">
        <v>2556</v>
      </c>
      <c r="Q37" s="139">
        <v>720000000</v>
      </c>
      <c r="R37" s="138">
        <v>0</v>
      </c>
      <c r="S37" s="139">
        <v>0</v>
      </c>
      <c r="T37" s="139">
        <v>0</v>
      </c>
      <c r="U37" s="454">
        <f t="shared" si="0"/>
        <v>720000000</v>
      </c>
      <c r="V37" s="458" t="s">
        <v>2553</v>
      </c>
      <c r="W37" s="23" t="s">
        <v>2511</v>
      </c>
      <c r="X37" s="28" t="s">
        <v>2512</v>
      </c>
      <c r="Y37" s="829">
        <v>13860</v>
      </c>
      <c r="Z37" s="830">
        <v>6090</v>
      </c>
      <c r="AA37" s="830">
        <v>1650</v>
      </c>
      <c r="AB37" s="830">
        <v>4420</v>
      </c>
      <c r="AC37" s="830">
        <v>8130</v>
      </c>
      <c r="AD37" s="830">
        <v>5750</v>
      </c>
      <c r="AE37" s="115"/>
      <c r="AF37" s="115"/>
      <c r="AG37" s="115"/>
      <c r="AH37" s="115"/>
      <c r="AI37" s="115"/>
      <c r="AJ37" s="115"/>
      <c r="AK37" s="115"/>
      <c r="AL37" s="115"/>
      <c r="AM37" s="115"/>
      <c r="AN37" s="115">
        <f t="shared" si="1"/>
        <v>19950</v>
      </c>
      <c r="AO37" s="144">
        <v>46024</v>
      </c>
      <c r="AP37" s="144">
        <v>46387</v>
      </c>
      <c r="AQ37" s="115" t="s">
        <v>2508</v>
      </c>
    </row>
    <row r="38" spans="1:43" ht="108" customHeight="1">
      <c r="A38" s="822">
        <v>1</v>
      </c>
      <c r="B38" s="823" t="s">
        <v>2498</v>
      </c>
      <c r="C38" s="824">
        <v>43</v>
      </c>
      <c r="D38" s="825" t="s">
        <v>2499</v>
      </c>
      <c r="E38" s="824">
        <v>4301</v>
      </c>
      <c r="F38" s="826" t="s">
        <v>2500</v>
      </c>
      <c r="G38" s="115">
        <v>4301037</v>
      </c>
      <c r="H38" s="456" t="s">
        <v>2540</v>
      </c>
      <c r="I38" s="115">
        <v>430103700</v>
      </c>
      <c r="J38" s="456" t="s">
        <v>2541</v>
      </c>
      <c r="K38" s="115">
        <v>15000</v>
      </c>
      <c r="L38" s="115">
        <v>0</v>
      </c>
      <c r="M38" s="115">
        <f t="shared" si="2"/>
        <v>15000</v>
      </c>
      <c r="N38" s="828">
        <v>2024003630029</v>
      </c>
      <c r="O38" s="826" t="s">
        <v>2503</v>
      </c>
      <c r="P38" s="513" t="s">
        <v>2557</v>
      </c>
      <c r="Q38" s="139">
        <v>440000000</v>
      </c>
      <c r="R38" s="138">
        <v>0</v>
      </c>
      <c r="S38" s="139">
        <v>0</v>
      </c>
      <c r="T38" s="139">
        <v>0</v>
      </c>
      <c r="U38" s="454">
        <f t="shared" si="0"/>
        <v>440000000</v>
      </c>
      <c r="V38" s="458" t="s">
        <v>2558</v>
      </c>
      <c r="W38" s="23" t="s">
        <v>2511</v>
      </c>
      <c r="X38" s="28" t="s">
        <v>2512</v>
      </c>
      <c r="Y38" s="829">
        <v>13860</v>
      </c>
      <c r="Z38" s="830">
        <v>6090</v>
      </c>
      <c r="AA38" s="830">
        <v>1650</v>
      </c>
      <c r="AB38" s="830">
        <v>4420</v>
      </c>
      <c r="AC38" s="830">
        <v>8130</v>
      </c>
      <c r="AD38" s="830">
        <v>5750</v>
      </c>
      <c r="AE38" s="115"/>
      <c r="AF38" s="115"/>
      <c r="AG38" s="115"/>
      <c r="AH38" s="115"/>
      <c r="AI38" s="115"/>
      <c r="AJ38" s="115"/>
      <c r="AK38" s="115"/>
      <c r="AL38" s="115"/>
      <c r="AM38" s="115"/>
      <c r="AN38" s="115">
        <f t="shared" si="1"/>
        <v>19950</v>
      </c>
      <c r="AO38" s="144">
        <v>46024</v>
      </c>
      <c r="AP38" s="144">
        <v>46387</v>
      </c>
      <c r="AQ38" s="115" t="s">
        <v>2508</v>
      </c>
    </row>
    <row r="39" spans="1:43" ht="108" customHeight="1">
      <c r="A39" s="822">
        <v>1</v>
      </c>
      <c r="B39" s="823" t="s">
        <v>2498</v>
      </c>
      <c r="C39" s="824">
        <v>43</v>
      </c>
      <c r="D39" s="825" t="s">
        <v>2499</v>
      </c>
      <c r="E39" s="824">
        <v>4301</v>
      </c>
      <c r="F39" s="826" t="s">
        <v>2500</v>
      </c>
      <c r="G39" s="115">
        <v>4301037</v>
      </c>
      <c r="H39" s="456" t="s">
        <v>2540</v>
      </c>
      <c r="I39" s="115">
        <v>430103700</v>
      </c>
      <c r="J39" s="456" t="s">
        <v>2541</v>
      </c>
      <c r="K39" s="115">
        <v>15000</v>
      </c>
      <c r="L39" s="115">
        <v>0</v>
      </c>
      <c r="M39" s="115">
        <f t="shared" si="2"/>
        <v>15000</v>
      </c>
      <c r="N39" s="828">
        <v>2024003630029</v>
      </c>
      <c r="O39" s="826" t="s">
        <v>2503</v>
      </c>
      <c r="P39" s="513" t="s">
        <v>2557</v>
      </c>
      <c r="Q39" s="139">
        <v>232449500.03999999</v>
      </c>
      <c r="R39" s="138">
        <v>0</v>
      </c>
      <c r="S39" s="139">
        <v>0</v>
      </c>
      <c r="T39" s="139">
        <v>0</v>
      </c>
      <c r="U39" s="831">
        <f t="shared" si="0"/>
        <v>232449500.03999999</v>
      </c>
      <c r="V39" s="458" t="s">
        <v>2559</v>
      </c>
      <c r="W39" s="23" t="s">
        <v>2506</v>
      </c>
      <c r="X39" s="28" t="s">
        <v>2507</v>
      </c>
      <c r="Y39" s="829">
        <v>13860</v>
      </c>
      <c r="Z39" s="830">
        <v>6090</v>
      </c>
      <c r="AA39" s="830">
        <v>1650</v>
      </c>
      <c r="AB39" s="830">
        <v>4420</v>
      </c>
      <c r="AC39" s="830">
        <v>8130</v>
      </c>
      <c r="AD39" s="830">
        <v>5750</v>
      </c>
      <c r="AE39" s="115"/>
      <c r="AF39" s="115"/>
      <c r="AG39" s="115"/>
      <c r="AH39" s="115"/>
      <c r="AI39" s="115"/>
      <c r="AJ39" s="115"/>
      <c r="AK39" s="115"/>
      <c r="AL39" s="115"/>
      <c r="AM39" s="115"/>
      <c r="AN39" s="115">
        <f t="shared" si="1"/>
        <v>19950</v>
      </c>
      <c r="AO39" s="144">
        <v>46024</v>
      </c>
      <c r="AP39" s="144">
        <v>46387</v>
      </c>
      <c r="AQ39" s="115" t="s">
        <v>2508</v>
      </c>
    </row>
    <row r="40" spans="1:43" ht="108" customHeight="1">
      <c r="A40" s="822">
        <v>1</v>
      </c>
      <c r="B40" s="823" t="s">
        <v>2498</v>
      </c>
      <c r="C40" s="824">
        <v>43</v>
      </c>
      <c r="D40" s="825" t="s">
        <v>2499</v>
      </c>
      <c r="E40" s="824">
        <v>4301</v>
      </c>
      <c r="F40" s="826" t="s">
        <v>2500</v>
      </c>
      <c r="G40" s="115">
        <v>4301037</v>
      </c>
      <c r="H40" s="456" t="s">
        <v>2540</v>
      </c>
      <c r="I40" s="115">
        <v>430103700</v>
      </c>
      <c r="J40" s="456" t="s">
        <v>2541</v>
      </c>
      <c r="K40" s="115">
        <v>15000</v>
      </c>
      <c r="L40" s="115">
        <v>0</v>
      </c>
      <c r="M40" s="115">
        <f t="shared" si="2"/>
        <v>15000</v>
      </c>
      <c r="N40" s="828">
        <v>2024003630029</v>
      </c>
      <c r="O40" s="826" t="s">
        <v>2503</v>
      </c>
      <c r="P40" s="513" t="s">
        <v>2557</v>
      </c>
      <c r="Q40" s="139">
        <v>33801786.740000002</v>
      </c>
      <c r="R40" s="138">
        <v>0</v>
      </c>
      <c r="S40" s="139">
        <v>0</v>
      </c>
      <c r="T40" s="139">
        <v>0</v>
      </c>
      <c r="U40" s="831">
        <f t="shared" si="0"/>
        <v>33801786.740000002</v>
      </c>
      <c r="V40" s="458" t="s">
        <v>2560</v>
      </c>
      <c r="W40" s="23" t="s">
        <v>2516</v>
      </c>
      <c r="X40" s="28" t="s">
        <v>2517</v>
      </c>
      <c r="Y40" s="829">
        <v>13860</v>
      </c>
      <c r="Z40" s="830">
        <v>6090</v>
      </c>
      <c r="AA40" s="830">
        <v>1650</v>
      </c>
      <c r="AB40" s="830">
        <v>4420</v>
      </c>
      <c r="AC40" s="830">
        <v>8130</v>
      </c>
      <c r="AD40" s="830">
        <v>5750</v>
      </c>
      <c r="AE40" s="115"/>
      <c r="AF40" s="115"/>
      <c r="AG40" s="115"/>
      <c r="AH40" s="115"/>
      <c r="AI40" s="115"/>
      <c r="AJ40" s="115"/>
      <c r="AK40" s="115"/>
      <c r="AL40" s="115"/>
      <c r="AM40" s="115"/>
      <c r="AN40" s="115">
        <f t="shared" si="1"/>
        <v>19950</v>
      </c>
      <c r="AO40" s="144">
        <v>46024</v>
      </c>
      <c r="AP40" s="144">
        <v>46387</v>
      </c>
      <c r="AQ40" s="115" t="s">
        <v>2508</v>
      </c>
    </row>
    <row r="41" spans="1:43" ht="108" customHeight="1">
      <c r="A41" s="822">
        <v>1</v>
      </c>
      <c r="B41" s="823" t="s">
        <v>2498</v>
      </c>
      <c r="C41" s="824">
        <v>43</v>
      </c>
      <c r="D41" s="825" t="s">
        <v>2499</v>
      </c>
      <c r="E41" s="824">
        <v>4301</v>
      </c>
      <c r="F41" s="826" t="s">
        <v>2500</v>
      </c>
      <c r="G41" s="115">
        <v>4301037</v>
      </c>
      <c r="H41" s="456" t="s">
        <v>2540</v>
      </c>
      <c r="I41" s="115">
        <v>430103700</v>
      </c>
      <c r="J41" s="456" t="s">
        <v>2541</v>
      </c>
      <c r="K41" s="115">
        <v>15000</v>
      </c>
      <c r="L41" s="115">
        <v>0</v>
      </c>
      <c r="M41" s="115">
        <f t="shared" si="2"/>
        <v>15000</v>
      </c>
      <c r="N41" s="828">
        <v>2024003630029</v>
      </c>
      <c r="O41" s="826" t="s">
        <v>2503</v>
      </c>
      <c r="P41" s="513" t="s">
        <v>2561</v>
      </c>
      <c r="Q41" s="139">
        <v>50000000</v>
      </c>
      <c r="R41" s="138">
        <v>0</v>
      </c>
      <c r="S41" s="139">
        <v>0</v>
      </c>
      <c r="T41" s="139">
        <v>0</v>
      </c>
      <c r="U41" s="454">
        <f t="shared" si="0"/>
        <v>50000000</v>
      </c>
      <c r="V41" s="458" t="s">
        <v>2562</v>
      </c>
      <c r="W41" s="23" t="s">
        <v>2511</v>
      </c>
      <c r="X41" s="28" t="s">
        <v>2512</v>
      </c>
      <c r="Y41" s="829">
        <v>13860</v>
      </c>
      <c r="Z41" s="830">
        <v>6090</v>
      </c>
      <c r="AA41" s="830">
        <v>1650</v>
      </c>
      <c r="AB41" s="830">
        <v>4420</v>
      </c>
      <c r="AC41" s="830">
        <v>8130</v>
      </c>
      <c r="AD41" s="830">
        <v>5750</v>
      </c>
      <c r="AE41" s="115"/>
      <c r="AF41" s="115"/>
      <c r="AG41" s="115"/>
      <c r="AH41" s="115"/>
      <c r="AI41" s="115"/>
      <c r="AJ41" s="115"/>
      <c r="AK41" s="115"/>
      <c r="AL41" s="115"/>
      <c r="AM41" s="115"/>
      <c r="AN41" s="115">
        <f t="shared" si="1"/>
        <v>19950</v>
      </c>
      <c r="AO41" s="144">
        <v>46024</v>
      </c>
      <c r="AP41" s="144">
        <v>46387</v>
      </c>
      <c r="AQ41" s="115" t="s">
        <v>2508</v>
      </c>
    </row>
    <row r="42" spans="1:43" ht="108" customHeight="1">
      <c r="A42" s="822">
        <v>1</v>
      </c>
      <c r="B42" s="823" t="s">
        <v>2498</v>
      </c>
      <c r="C42" s="824">
        <v>43</v>
      </c>
      <c r="D42" s="825" t="s">
        <v>2499</v>
      </c>
      <c r="E42" s="824">
        <v>4301</v>
      </c>
      <c r="F42" s="826" t="s">
        <v>2500</v>
      </c>
      <c r="G42" s="115">
        <v>4301037</v>
      </c>
      <c r="H42" s="456" t="s">
        <v>2540</v>
      </c>
      <c r="I42" s="115">
        <v>430103700</v>
      </c>
      <c r="J42" s="456" t="s">
        <v>2541</v>
      </c>
      <c r="K42" s="115">
        <v>15000</v>
      </c>
      <c r="L42" s="115">
        <v>0</v>
      </c>
      <c r="M42" s="115">
        <f t="shared" si="2"/>
        <v>15000</v>
      </c>
      <c r="N42" s="828">
        <v>2024003630029</v>
      </c>
      <c r="O42" s="826" t="s">
        <v>2503</v>
      </c>
      <c r="P42" s="513" t="s">
        <v>2561</v>
      </c>
      <c r="Q42" s="139">
        <v>100000000</v>
      </c>
      <c r="R42" s="138">
        <v>0</v>
      </c>
      <c r="S42" s="139">
        <v>0</v>
      </c>
      <c r="T42" s="139">
        <v>0</v>
      </c>
      <c r="U42" s="831">
        <f t="shared" si="0"/>
        <v>100000000</v>
      </c>
      <c r="V42" s="458" t="s">
        <v>2563</v>
      </c>
      <c r="W42" s="23" t="s">
        <v>2516</v>
      </c>
      <c r="X42" s="28" t="s">
        <v>2517</v>
      </c>
      <c r="Y42" s="829">
        <v>13860</v>
      </c>
      <c r="Z42" s="830">
        <v>6090</v>
      </c>
      <c r="AA42" s="830">
        <v>1650</v>
      </c>
      <c r="AB42" s="830">
        <v>4420</v>
      </c>
      <c r="AC42" s="830">
        <v>8130</v>
      </c>
      <c r="AD42" s="830">
        <v>5750</v>
      </c>
      <c r="AE42" s="115"/>
      <c r="AF42" s="115"/>
      <c r="AG42" s="115"/>
      <c r="AH42" s="115"/>
      <c r="AI42" s="115"/>
      <c r="AJ42" s="115"/>
      <c r="AK42" s="115"/>
      <c r="AL42" s="115"/>
      <c r="AM42" s="115"/>
      <c r="AN42" s="115">
        <f t="shared" si="1"/>
        <v>19950</v>
      </c>
      <c r="AO42" s="144">
        <v>46024</v>
      </c>
      <c r="AP42" s="144">
        <v>46387</v>
      </c>
      <c r="AQ42" s="115" t="s">
        <v>2508</v>
      </c>
    </row>
    <row r="43" spans="1:43" ht="108" customHeight="1">
      <c r="A43" s="822">
        <v>1</v>
      </c>
      <c r="B43" s="823" t="s">
        <v>2498</v>
      </c>
      <c r="C43" s="824">
        <v>43</v>
      </c>
      <c r="D43" s="825" t="s">
        <v>2499</v>
      </c>
      <c r="E43" s="824">
        <v>4301</v>
      </c>
      <c r="F43" s="826" t="s">
        <v>2500</v>
      </c>
      <c r="G43" s="115">
        <v>4301037</v>
      </c>
      <c r="H43" s="456" t="s">
        <v>2540</v>
      </c>
      <c r="I43" s="115">
        <v>430103704</v>
      </c>
      <c r="J43" s="456" t="s">
        <v>2564</v>
      </c>
      <c r="K43" s="115">
        <v>12</v>
      </c>
      <c r="L43" s="115">
        <v>0</v>
      </c>
      <c r="M43" s="115">
        <f t="shared" si="2"/>
        <v>12</v>
      </c>
      <c r="N43" s="828">
        <v>2024003630029</v>
      </c>
      <c r="O43" s="826" t="s">
        <v>2503</v>
      </c>
      <c r="P43" s="513" t="s">
        <v>2565</v>
      </c>
      <c r="Q43" s="139">
        <v>250000000</v>
      </c>
      <c r="R43" s="138">
        <v>0</v>
      </c>
      <c r="S43" s="139">
        <v>0</v>
      </c>
      <c r="T43" s="139">
        <v>0</v>
      </c>
      <c r="U43" s="454">
        <f t="shared" si="0"/>
        <v>250000000</v>
      </c>
      <c r="V43" s="458" t="s">
        <v>2554</v>
      </c>
      <c r="W43" s="23" t="s">
        <v>2506</v>
      </c>
      <c r="X43" s="28" t="s">
        <v>2507</v>
      </c>
      <c r="Y43" s="829">
        <v>13860</v>
      </c>
      <c r="Z43" s="830">
        <v>6090</v>
      </c>
      <c r="AA43" s="830">
        <v>1650</v>
      </c>
      <c r="AB43" s="830">
        <v>4420</v>
      </c>
      <c r="AC43" s="830">
        <v>8130</v>
      </c>
      <c r="AD43" s="830">
        <v>5750</v>
      </c>
      <c r="AE43" s="115"/>
      <c r="AF43" s="115"/>
      <c r="AG43" s="115"/>
      <c r="AH43" s="115"/>
      <c r="AI43" s="115"/>
      <c r="AJ43" s="115"/>
      <c r="AK43" s="115"/>
      <c r="AL43" s="115"/>
      <c r="AM43" s="115"/>
      <c r="AN43" s="115">
        <f t="shared" si="1"/>
        <v>19950</v>
      </c>
      <c r="AO43" s="144">
        <v>46024</v>
      </c>
      <c r="AP43" s="144">
        <v>46387</v>
      </c>
      <c r="AQ43" s="115" t="s">
        <v>2508</v>
      </c>
    </row>
    <row r="44" spans="1:43" ht="108" customHeight="1">
      <c r="A44" s="822">
        <v>1</v>
      </c>
      <c r="B44" s="823" t="s">
        <v>2498</v>
      </c>
      <c r="C44" s="824">
        <v>43</v>
      </c>
      <c r="D44" s="825" t="s">
        <v>2499</v>
      </c>
      <c r="E44" s="824">
        <v>4301</v>
      </c>
      <c r="F44" s="826" t="s">
        <v>2500</v>
      </c>
      <c r="G44" s="115">
        <v>4301037</v>
      </c>
      <c r="H44" s="456" t="s">
        <v>2540</v>
      </c>
      <c r="I44" s="115">
        <v>430103704</v>
      </c>
      <c r="J44" s="456" t="s">
        <v>2564</v>
      </c>
      <c r="K44" s="115">
        <v>12</v>
      </c>
      <c r="L44" s="115">
        <v>0</v>
      </c>
      <c r="M44" s="115">
        <f t="shared" si="2"/>
        <v>12</v>
      </c>
      <c r="N44" s="828">
        <v>2024003630029</v>
      </c>
      <c r="O44" s="826" t="s">
        <v>2503</v>
      </c>
      <c r="P44" s="513" t="s">
        <v>2565</v>
      </c>
      <c r="Q44" s="139">
        <v>314261978.63999999</v>
      </c>
      <c r="R44" s="138">
        <v>0</v>
      </c>
      <c r="S44" s="139">
        <v>0</v>
      </c>
      <c r="T44" s="139">
        <v>0</v>
      </c>
      <c r="U44" s="454">
        <f t="shared" si="0"/>
        <v>314261978.63999999</v>
      </c>
      <c r="V44" s="458" t="s">
        <v>2566</v>
      </c>
      <c r="W44" s="23" t="s">
        <v>2522</v>
      </c>
      <c r="X44" s="28" t="s">
        <v>2523</v>
      </c>
      <c r="Y44" s="832">
        <v>13860</v>
      </c>
      <c r="Z44" s="833">
        <v>6090</v>
      </c>
      <c r="AA44" s="833">
        <v>1650</v>
      </c>
      <c r="AB44" s="833">
        <v>4420</v>
      </c>
      <c r="AC44" s="833">
        <v>8130</v>
      </c>
      <c r="AD44" s="833">
        <v>5750</v>
      </c>
      <c r="AE44" s="604"/>
      <c r="AF44" s="604"/>
      <c r="AG44" s="604"/>
      <c r="AH44" s="604"/>
      <c r="AI44" s="604"/>
      <c r="AJ44" s="604"/>
      <c r="AK44" s="604"/>
      <c r="AL44" s="604"/>
      <c r="AM44" s="604"/>
      <c r="AN44" s="604">
        <f t="shared" si="1"/>
        <v>19950</v>
      </c>
      <c r="AO44" s="144">
        <v>46024</v>
      </c>
      <c r="AP44" s="144">
        <v>46387</v>
      </c>
      <c r="AQ44" s="115" t="s">
        <v>2508</v>
      </c>
    </row>
    <row r="45" spans="1:43" ht="108" customHeight="1">
      <c r="A45" s="822">
        <v>1</v>
      </c>
      <c r="B45" s="823" t="s">
        <v>2498</v>
      </c>
      <c r="C45" s="824">
        <v>43</v>
      </c>
      <c r="D45" s="825" t="s">
        <v>2499</v>
      </c>
      <c r="E45" s="834">
        <v>4302</v>
      </c>
      <c r="F45" s="826" t="s">
        <v>2567</v>
      </c>
      <c r="G45" s="835">
        <v>4302002</v>
      </c>
      <c r="H45" s="826" t="s">
        <v>2568</v>
      </c>
      <c r="I45" s="834">
        <v>430200200</v>
      </c>
      <c r="J45" s="826" t="s">
        <v>2569</v>
      </c>
      <c r="K45" s="834">
        <v>800</v>
      </c>
      <c r="L45" s="115">
        <v>0</v>
      </c>
      <c r="M45" s="115">
        <f t="shared" si="2"/>
        <v>800</v>
      </c>
      <c r="N45" s="828">
        <v>2024003630017</v>
      </c>
      <c r="O45" s="826" t="s">
        <v>2570</v>
      </c>
      <c r="P45" s="513" t="s">
        <v>2571</v>
      </c>
      <c r="Q45" s="139">
        <v>1200000000</v>
      </c>
      <c r="R45" s="138">
        <v>0</v>
      </c>
      <c r="S45" s="139">
        <v>0</v>
      </c>
      <c r="T45" s="139">
        <v>0</v>
      </c>
      <c r="U45" s="831">
        <f t="shared" si="0"/>
        <v>1200000000</v>
      </c>
      <c r="V45" s="458" t="s">
        <v>2572</v>
      </c>
      <c r="W45" s="23" t="s">
        <v>2511</v>
      </c>
      <c r="X45" s="28" t="s">
        <v>2512</v>
      </c>
      <c r="Y45" s="836">
        <v>315</v>
      </c>
      <c r="Z45" s="836">
        <v>485</v>
      </c>
      <c r="AA45" s="836">
        <v>110</v>
      </c>
      <c r="AB45" s="836">
        <v>360</v>
      </c>
      <c r="AC45" s="836">
        <v>330</v>
      </c>
      <c r="AD45" s="836">
        <v>0</v>
      </c>
      <c r="AE45" s="115"/>
      <c r="AF45" s="115"/>
      <c r="AG45" s="115"/>
      <c r="AH45" s="115"/>
      <c r="AI45" s="115"/>
      <c r="AJ45" s="115"/>
      <c r="AK45" s="115"/>
      <c r="AL45" s="115"/>
      <c r="AM45" s="115"/>
      <c r="AN45" s="115">
        <f>+Y45+Z45</f>
        <v>800</v>
      </c>
      <c r="AO45" s="144">
        <v>46024</v>
      </c>
      <c r="AP45" s="144">
        <v>46387</v>
      </c>
      <c r="AQ45" s="115" t="s">
        <v>2508</v>
      </c>
    </row>
    <row r="46" spans="1:43" ht="108" customHeight="1">
      <c r="A46" s="822">
        <v>1</v>
      </c>
      <c r="B46" s="823" t="s">
        <v>2498</v>
      </c>
      <c r="C46" s="824">
        <v>43</v>
      </c>
      <c r="D46" s="825" t="s">
        <v>2499</v>
      </c>
      <c r="E46" s="834">
        <v>4302</v>
      </c>
      <c r="F46" s="826" t="s">
        <v>2567</v>
      </c>
      <c r="G46" s="835">
        <v>4302002</v>
      </c>
      <c r="H46" s="826" t="s">
        <v>2568</v>
      </c>
      <c r="I46" s="834">
        <v>430200200</v>
      </c>
      <c r="J46" s="826" t="s">
        <v>2569</v>
      </c>
      <c r="K46" s="834">
        <v>800</v>
      </c>
      <c r="L46" s="115">
        <v>0</v>
      </c>
      <c r="M46" s="115">
        <f t="shared" si="2"/>
        <v>800</v>
      </c>
      <c r="N46" s="828">
        <v>2024003630017</v>
      </c>
      <c r="O46" s="826" t="s">
        <v>2570</v>
      </c>
      <c r="P46" s="513" t="s">
        <v>2571</v>
      </c>
      <c r="Q46" s="139">
        <v>150000000</v>
      </c>
      <c r="R46" s="138">
        <v>0</v>
      </c>
      <c r="S46" s="139">
        <v>0</v>
      </c>
      <c r="T46" s="139">
        <v>0</v>
      </c>
      <c r="U46" s="831">
        <f t="shared" si="0"/>
        <v>150000000</v>
      </c>
      <c r="V46" s="458" t="s">
        <v>2573</v>
      </c>
      <c r="W46" s="23" t="s">
        <v>2506</v>
      </c>
      <c r="X46" s="28" t="s">
        <v>2507</v>
      </c>
      <c r="Y46" s="836">
        <v>315</v>
      </c>
      <c r="Z46" s="836">
        <v>485</v>
      </c>
      <c r="AA46" s="836">
        <v>110</v>
      </c>
      <c r="AB46" s="836">
        <v>360</v>
      </c>
      <c r="AC46" s="836">
        <v>330</v>
      </c>
      <c r="AD46" s="836">
        <v>0</v>
      </c>
      <c r="AE46" s="115"/>
      <c r="AF46" s="115"/>
      <c r="AG46" s="115"/>
      <c r="AH46" s="115"/>
      <c r="AI46" s="115"/>
      <c r="AJ46" s="115"/>
      <c r="AK46" s="115"/>
      <c r="AL46" s="115"/>
      <c r="AM46" s="115"/>
      <c r="AN46" s="115">
        <f t="shared" ref="AN46:AN66" si="3">+Y46+Z46</f>
        <v>800</v>
      </c>
      <c r="AO46" s="144">
        <v>46024</v>
      </c>
      <c r="AP46" s="144">
        <v>46387</v>
      </c>
      <c r="AQ46" s="115" t="s">
        <v>2508</v>
      </c>
    </row>
    <row r="47" spans="1:43" ht="108" customHeight="1">
      <c r="A47" s="822">
        <v>1</v>
      </c>
      <c r="B47" s="823" t="s">
        <v>2498</v>
      </c>
      <c r="C47" s="824">
        <v>43</v>
      </c>
      <c r="D47" s="825" t="s">
        <v>2499</v>
      </c>
      <c r="E47" s="834">
        <v>4302</v>
      </c>
      <c r="F47" s="826" t="s">
        <v>2567</v>
      </c>
      <c r="G47" s="835">
        <v>4302002</v>
      </c>
      <c r="H47" s="826" t="s">
        <v>2568</v>
      </c>
      <c r="I47" s="834">
        <v>430200200</v>
      </c>
      <c r="J47" s="826" t="s">
        <v>2569</v>
      </c>
      <c r="K47" s="834">
        <v>800</v>
      </c>
      <c r="L47" s="115">
        <v>0</v>
      </c>
      <c r="M47" s="115">
        <f t="shared" si="2"/>
        <v>800</v>
      </c>
      <c r="N47" s="828">
        <v>2024003630017</v>
      </c>
      <c r="O47" s="826" t="s">
        <v>2570</v>
      </c>
      <c r="P47" s="513" t="s">
        <v>2571</v>
      </c>
      <c r="Q47" s="139">
        <v>792332.97</v>
      </c>
      <c r="R47" s="138">
        <v>0</v>
      </c>
      <c r="S47" s="139">
        <v>0</v>
      </c>
      <c r="T47" s="139">
        <v>0</v>
      </c>
      <c r="U47" s="831">
        <f t="shared" si="0"/>
        <v>792332.97</v>
      </c>
      <c r="V47" s="458" t="s">
        <v>2574</v>
      </c>
      <c r="W47" s="23" t="s">
        <v>2575</v>
      </c>
      <c r="X47" s="28" t="s">
        <v>2507</v>
      </c>
      <c r="Y47" s="836">
        <v>315</v>
      </c>
      <c r="Z47" s="836">
        <v>485</v>
      </c>
      <c r="AA47" s="836">
        <v>110</v>
      </c>
      <c r="AB47" s="836">
        <v>360</v>
      </c>
      <c r="AC47" s="836">
        <v>330</v>
      </c>
      <c r="AD47" s="836">
        <v>0</v>
      </c>
      <c r="AE47" s="115"/>
      <c r="AF47" s="115"/>
      <c r="AG47" s="115"/>
      <c r="AH47" s="115"/>
      <c r="AI47" s="115"/>
      <c r="AJ47" s="115"/>
      <c r="AK47" s="115"/>
      <c r="AL47" s="115"/>
      <c r="AM47" s="115"/>
      <c r="AN47" s="115">
        <f t="shared" si="3"/>
        <v>800</v>
      </c>
      <c r="AO47" s="144">
        <v>46024</v>
      </c>
      <c r="AP47" s="144">
        <v>46387</v>
      </c>
      <c r="AQ47" s="115" t="s">
        <v>2508</v>
      </c>
    </row>
    <row r="48" spans="1:43" ht="108" customHeight="1">
      <c r="A48" s="822">
        <v>1</v>
      </c>
      <c r="B48" s="823" t="s">
        <v>2498</v>
      </c>
      <c r="C48" s="824">
        <v>43</v>
      </c>
      <c r="D48" s="825" t="s">
        <v>2499</v>
      </c>
      <c r="E48" s="834">
        <v>4302</v>
      </c>
      <c r="F48" s="826" t="s">
        <v>2567</v>
      </c>
      <c r="G48" s="835">
        <v>4302075</v>
      </c>
      <c r="H48" s="826" t="s">
        <v>2576</v>
      </c>
      <c r="I48" s="834">
        <v>430207500</v>
      </c>
      <c r="J48" s="826" t="s">
        <v>2577</v>
      </c>
      <c r="K48" s="834">
        <v>40</v>
      </c>
      <c r="L48" s="115">
        <v>0</v>
      </c>
      <c r="M48" s="115">
        <f t="shared" si="2"/>
        <v>40</v>
      </c>
      <c r="N48" s="828">
        <v>2024003630017</v>
      </c>
      <c r="O48" s="826" t="s">
        <v>2570</v>
      </c>
      <c r="P48" s="513" t="s">
        <v>2578</v>
      </c>
      <c r="Q48" s="139">
        <v>15000000</v>
      </c>
      <c r="R48" s="138">
        <v>0</v>
      </c>
      <c r="S48" s="139">
        <v>0</v>
      </c>
      <c r="T48" s="139">
        <v>0</v>
      </c>
      <c r="U48" s="454">
        <f t="shared" si="0"/>
        <v>15000000</v>
      </c>
      <c r="V48" s="458" t="s">
        <v>2579</v>
      </c>
      <c r="W48" s="23" t="s">
        <v>2511</v>
      </c>
      <c r="X48" s="28" t="s">
        <v>2512</v>
      </c>
      <c r="Y48" s="836">
        <v>315</v>
      </c>
      <c r="Z48" s="836">
        <v>485</v>
      </c>
      <c r="AA48" s="836">
        <v>110</v>
      </c>
      <c r="AB48" s="836">
        <v>360</v>
      </c>
      <c r="AC48" s="836">
        <v>330</v>
      </c>
      <c r="AD48" s="836">
        <v>0</v>
      </c>
      <c r="AE48" s="115"/>
      <c r="AF48" s="115"/>
      <c r="AG48" s="115"/>
      <c r="AH48" s="115"/>
      <c r="AI48" s="115"/>
      <c r="AJ48" s="115"/>
      <c r="AK48" s="115"/>
      <c r="AL48" s="115"/>
      <c r="AM48" s="115"/>
      <c r="AN48" s="115">
        <f t="shared" si="3"/>
        <v>800</v>
      </c>
      <c r="AO48" s="144">
        <v>46024</v>
      </c>
      <c r="AP48" s="144">
        <v>46387</v>
      </c>
      <c r="AQ48" s="115" t="s">
        <v>2508</v>
      </c>
    </row>
    <row r="49" spans="1:43" ht="108" customHeight="1">
      <c r="A49" s="822">
        <v>1</v>
      </c>
      <c r="B49" s="823" t="s">
        <v>2498</v>
      </c>
      <c r="C49" s="824">
        <v>43</v>
      </c>
      <c r="D49" s="825" t="s">
        <v>2499</v>
      </c>
      <c r="E49" s="834">
        <v>4302</v>
      </c>
      <c r="F49" s="826" t="s">
        <v>2567</v>
      </c>
      <c r="G49" s="835">
        <v>4302075</v>
      </c>
      <c r="H49" s="826" t="s">
        <v>2576</v>
      </c>
      <c r="I49" s="834">
        <v>430207500</v>
      </c>
      <c r="J49" s="826" t="s">
        <v>2577</v>
      </c>
      <c r="K49" s="834">
        <v>40</v>
      </c>
      <c r="L49" s="115">
        <v>0</v>
      </c>
      <c r="M49" s="115">
        <f t="shared" si="2"/>
        <v>40</v>
      </c>
      <c r="N49" s="828">
        <v>2024003630017</v>
      </c>
      <c r="O49" s="826" t="s">
        <v>2570</v>
      </c>
      <c r="P49" s="513" t="s">
        <v>2578</v>
      </c>
      <c r="Q49" s="139">
        <v>40000000</v>
      </c>
      <c r="R49" s="138">
        <v>0</v>
      </c>
      <c r="S49" s="139">
        <v>0</v>
      </c>
      <c r="T49" s="139">
        <v>0</v>
      </c>
      <c r="U49" s="454">
        <f t="shared" si="0"/>
        <v>40000000</v>
      </c>
      <c r="V49" s="458" t="s">
        <v>2580</v>
      </c>
      <c r="W49" s="23" t="s">
        <v>2511</v>
      </c>
      <c r="X49" s="28" t="s">
        <v>2512</v>
      </c>
      <c r="Y49" s="836">
        <v>315</v>
      </c>
      <c r="Z49" s="836">
        <v>485</v>
      </c>
      <c r="AA49" s="836">
        <v>110</v>
      </c>
      <c r="AB49" s="836">
        <v>360</v>
      </c>
      <c r="AC49" s="836">
        <v>330</v>
      </c>
      <c r="AD49" s="836">
        <v>0</v>
      </c>
      <c r="AE49" s="115"/>
      <c r="AF49" s="115"/>
      <c r="AG49" s="115"/>
      <c r="AH49" s="115"/>
      <c r="AI49" s="115"/>
      <c r="AJ49" s="115"/>
      <c r="AK49" s="115"/>
      <c r="AL49" s="115"/>
      <c r="AM49" s="115"/>
      <c r="AN49" s="115">
        <f t="shared" si="3"/>
        <v>800</v>
      </c>
      <c r="AO49" s="144">
        <v>46024</v>
      </c>
      <c r="AP49" s="144">
        <v>46387</v>
      </c>
      <c r="AQ49" s="115" t="s">
        <v>2508</v>
      </c>
    </row>
    <row r="50" spans="1:43" ht="108" customHeight="1">
      <c r="A50" s="822">
        <v>1</v>
      </c>
      <c r="B50" s="823" t="s">
        <v>2498</v>
      </c>
      <c r="C50" s="824">
        <v>43</v>
      </c>
      <c r="D50" s="825" t="s">
        <v>2499</v>
      </c>
      <c r="E50" s="834">
        <v>4302</v>
      </c>
      <c r="F50" s="826" t="s">
        <v>2567</v>
      </c>
      <c r="G50" s="835">
        <v>4302075</v>
      </c>
      <c r="H50" s="826" t="s">
        <v>2576</v>
      </c>
      <c r="I50" s="834">
        <v>430207500</v>
      </c>
      <c r="J50" s="826" t="s">
        <v>2577</v>
      </c>
      <c r="K50" s="834">
        <v>40</v>
      </c>
      <c r="L50" s="115">
        <v>0</v>
      </c>
      <c r="M50" s="115">
        <f t="shared" si="2"/>
        <v>40</v>
      </c>
      <c r="N50" s="828">
        <v>2024003630017</v>
      </c>
      <c r="O50" s="826" t="s">
        <v>2570</v>
      </c>
      <c r="P50" s="513" t="s">
        <v>2578</v>
      </c>
      <c r="Q50" s="139">
        <v>10000000</v>
      </c>
      <c r="R50" s="138">
        <v>0</v>
      </c>
      <c r="S50" s="139">
        <v>0</v>
      </c>
      <c r="T50" s="139">
        <v>0</v>
      </c>
      <c r="U50" s="454">
        <f t="shared" si="0"/>
        <v>10000000</v>
      </c>
      <c r="V50" s="458" t="s">
        <v>2581</v>
      </c>
      <c r="W50" s="23" t="s">
        <v>2506</v>
      </c>
      <c r="X50" s="28" t="s">
        <v>2507</v>
      </c>
      <c r="Y50" s="836">
        <v>315</v>
      </c>
      <c r="Z50" s="836">
        <v>485</v>
      </c>
      <c r="AA50" s="836">
        <v>110</v>
      </c>
      <c r="AB50" s="836">
        <v>360</v>
      </c>
      <c r="AC50" s="836">
        <v>330</v>
      </c>
      <c r="AD50" s="836">
        <v>0</v>
      </c>
      <c r="AE50" s="115"/>
      <c r="AF50" s="115"/>
      <c r="AG50" s="115"/>
      <c r="AH50" s="115"/>
      <c r="AI50" s="115"/>
      <c r="AJ50" s="115"/>
      <c r="AK50" s="115"/>
      <c r="AL50" s="115"/>
      <c r="AM50" s="115"/>
      <c r="AN50" s="115">
        <f t="shared" si="3"/>
        <v>800</v>
      </c>
      <c r="AO50" s="144">
        <v>46024</v>
      </c>
      <c r="AP50" s="144">
        <v>46387</v>
      </c>
      <c r="AQ50" s="115" t="s">
        <v>2508</v>
      </c>
    </row>
    <row r="51" spans="1:43" ht="108" customHeight="1">
      <c r="A51" s="822">
        <v>1</v>
      </c>
      <c r="B51" s="823" t="s">
        <v>2498</v>
      </c>
      <c r="C51" s="824">
        <v>43</v>
      </c>
      <c r="D51" s="825" t="s">
        <v>2499</v>
      </c>
      <c r="E51" s="834">
        <v>4302</v>
      </c>
      <c r="F51" s="826" t="s">
        <v>2567</v>
      </c>
      <c r="G51" s="835">
        <v>4302075</v>
      </c>
      <c r="H51" s="826" t="s">
        <v>2576</v>
      </c>
      <c r="I51" s="834">
        <v>430207500</v>
      </c>
      <c r="J51" s="826" t="s">
        <v>2577</v>
      </c>
      <c r="K51" s="834">
        <v>40</v>
      </c>
      <c r="L51" s="115">
        <v>0</v>
      </c>
      <c r="M51" s="115">
        <f t="shared" si="2"/>
        <v>40</v>
      </c>
      <c r="N51" s="828">
        <v>2024003630017</v>
      </c>
      <c r="O51" s="826" t="s">
        <v>2570</v>
      </c>
      <c r="P51" s="513" t="s">
        <v>2578</v>
      </c>
      <c r="Q51" s="139">
        <v>30000000</v>
      </c>
      <c r="R51" s="138">
        <v>0</v>
      </c>
      <c r="S51" s="139">
        <v>0</v>
      </c>
      <c r="T51" s="139">
        <v>0</v>
      </c>
      <c r="U51" s="454">
        <f t="shared" si="0"/>
        <v>30000000</v>
      </c>
      <c r="V51" s="458" t="s">
        <v>2582</v>
      </c>
      <c r="W51" s="23" t="s">
        <v>2511</v>
      </c>
      <c r="X51" s="28" t="s">
        <v>2512</v>
      </c>
      <c r="Y51" s="836">
        <v>315</v>
      </c>
      <c r="Z51" s="836">
        <v>485</v>
      </c>
      <c r="AA51" s="836">
        <v>110</v>
      </c>
      <c r="AB51" s="836">
        <v>360</v>
      </c>
      <c r="AC51" s="836">
        <v>330</v>
      </c>
      <c r="AD51" s="836">
        <v>0</v>
      </c>
      <c r="AE51" s="115"/>
      <c r="AF51" s="115"/>
      <c r="AG51" s="115"/>
      <c r="AH51" s="115"/>
      <c r="AI51" s="115"/>
      <c r="AJ51" s="115"/>
      <c r="AK51" s="115"/>
      <c r="AL51" s="115"/>
      <c r="AM51" s="115"/>
      <c r="AN51" s="115">
        <f t="shared" si="3"/>
        <v>800</v>
      </c>
      <c r="AO51" s="144">
        <v>46024</v>
      </c>
      <c r="AP51" s="144">
        <v>46387</v>
      </c>
      <c r="AQ51" s="115" t="s">
        <v>2508</v>
      </c>
    </row>
    <row r="52" spans="1:43" ht="108" customHeight="1">
      <c r="A52" s="822">
        <v>1</v>
      </c>
      <c r="B52" s="823" t="s">
        <v>2498</v>
      </c>
      <c r="C52" s="824">
        <v>43</v>
      </c>
      <c r="D52" s="825" t="s">
        <v>2499</v>
      </c>
      <c r="E52" s="834">
        <v>4302</v>
      </c>
      <c r="F52" s="826" t="s">
        <v>2567</v>
      </c>
      <c r="G52" s="835">
        <v>4302075</v>
      </c>
      <c r="H52" s="826" t="s">
        <v>2576</v>
      </c>
      <c r="I52" s="834">
        <v>430207500</v>
      </c>
      <c r="J52" s="826" t="s">
        <v>2577</v>
      </c>
      <c r="K52" s="834">
        <v>40</v>
      </c>
      <c r="L52" s="115">
        <v>0</v>
      </c>
      <c r="M52" s="115">
        <f t="shared" si="2"/>
        <v>40</v>
      </c>
      <c r="N52" s="828">
        <v>2024003630017</v>
      </c>
      <c r="O52" s="826" t="s">
        <v>2570</v>
      </c>
      <c r="P52" s="513" t="s">
        <v>2578</v>
      </c>
      <c r="Q52" s="139">
        <v>10000000</v>
      </c>
      <c r="R52" s="138">
        <v>0</v>
      </c>
      <c r="S52" s="139">
        <v>0</v>
      </c>
      <c r="T52" s="139">
        <v>0</v>
      </c>
      <c r="U52" s="454">
        <f t="shared" si="0"/>
        <v>10000000</v>
      </c>
      <c r="V52" s="458" t="s">
        <v>2583</v>
      </c>
      <c r="W52" s="23" t="s">
        <v>2506</v>
      </c>
      <c r="X52" s="28" t="s">
        <v>2507</v>
      </c>
      <c r="Y52" s="836">
        <v>315</v>
      </c>
      <c r="Z52" s="836">
        <v>485</v>
      </c>
      <c r="AA52" s="836">
        <v>110</v>
      </c>
      <c r="AB52" s="836">
        <v>360</v>
      </c>
      <c r="AC52" s="836">
        <v>330</v>
      </c>
      <c r="AD52" s="836">
        <v>0</v>
      </c>
      <c r="AE52" s="115"/>
      <c r="AF52" s="115"/>
      <c r="AG52" s="115"/>
      <c r="AH52" s="115"/>
      <c r="AI52" s="115"/>
      <c r="AJ52" s="115"/>
      <c r="AK52" s="115"/>
      <c r="AL52" s="115"/>
      <c r="AM52" s="115"/>
      <c r="AN52" s="115">
        <f t="shared" si="3"/>
        <v>800</v>
      </c>
      <c r="AO52" s="144">
        <v>46024</v>
      </c>
      <c r="AP52" s="144">
        <v>46387</v>
      </c>
      <c r="AQ52" s="115" t="s">
        <v>2508</v>
      </c>
    </row>
    <row r="53" spans="1:43" ht="108" customHeight="1">
      <c r="A53" s="822">
        <v>1</v>
      </c>
      <c r="B53" s="823" t="s">
        <v>2498</v>
      </c>
      <c r="C53" s="824">
        <v>43</v>
      </c>
      <c r="D53" s="825" t="s">
        <v>2499</v>
      </c>
      <c r="E53" s="834">
        <v>4302</v>
      </c>
      <c r="F53" s="826" t="s">
        <v>2567</v>
      </c>
      <c r="G53" s="835">
        <v>4302075</v>
      </c>
      <c r="H53" s="826" t="s">
        <v>2576</v>
      </c>
      <c r="I53" s="834">
        <v>430207500</v>
      </c>
      <c r="J53" s="826" t="s">
        <v>2577</v>
      </c>
      <c r="K53" s="834">
        <v>40</v>
      </c>
      <c r="L53" s="115">
        <v>0</v>
      </c>
      <c r="M53" s="115">
        <f t="shared" si="2"/>
        <v>40</v>
      </c>
      <c r="N53" s="828">
        <v>2024003630017</v>
      </c>
      <c r="O53" s="826" t="s">
        <v>2570</v>
      </c>
      <c r="P53" s="513" t="s">
        <v>2578</v>
      </c>
      <c r="Q53" s="139">
        <v>10000000</v>
      </c>
      <c r="R53" s="138">
        <v>0</v>
      </c>
      <c r="S53" s="139">
        <v>0</v>
      </c>
      <c r="T53" s="139">
        <v>0</v>
      </c>
      <c r="U53" s="454">
        <f t="shared" si="0"/>
        <v>10000000</v>
      </c>
      <c r="V53" s="458" t="s">
        <v>2584</v>
      </c>
      <c r="W53" s="23" t="s">
        <v>2522</v>
      </c>
      <c r="X53" s="28" t="s">
        <v>2523</v>
      </c>
      <c r="Y53" s="836">
        <v>315</v>
      </c>
      <c r="Z53" s="836">
        <v>485</v>
      </c>
      <c r="AA53" s="836">
        <v>110</v>
      </c>
      <c r="AB53" s="836">
        <v>360</v>
      </c>
      <c r="AC53" s="836">
        <v>330</v>
      </c>
      <c r="AD53" s="836">
        <v>0</v>
      </c>
      <c r="AE53" s="115"/>
      <c r="AF53" s="115"/>
      <c r="AG53" s="115"/>
      <c r="AH53" s="115"/>
      <c r="AI53" s="115"/>
      <c r="AJ53" s="115"/>
      <c r="AK53" s="115"/>
      <c r="AL53" s="115"/>
      <c r="AM53" s="115"/>
      <c r="AN53" s="115">
        <f t="shared" si="3"/>
        <v>800</v>
      </c>
      <c r="AO53" s="144">
        <v>46024</v>
      </c>
      <c r="AP53" s="144">
        <v>46387</v>
      </c>
      <c r="AQ53" s="115" t="s">
        <v>2508</v>
      </c>
    </row>
    <row r="54" spans="1:43" ht="108" customHeight="1">
      <c r="A54" s="822">
        <v>1</v>
      </c>
      <c r="B54" s="823" t="s">
        <v>2498</v>
      </c>
      <c r="C54" s="824">
        <v>43</v>
      </c>
      <c r="D54" s="825" t="s">
        <v>2499</v>
      </c>
      <c r="E54" s="834">
        <v>4302</v>
      </c>
      <c r="F54" s="826" t="s">
        <v>2567</v>
      </c>
      <c r="G54" s="835">
        <v>4302075</v>
      </c>
      <c r="H54" s="826" t="s">
        <v>2576</v>
      </c>
      <c r="I54" s="834">
        <v>430207500</v>
      </c>
      <c r="J54" s="826" t="s">
        <v>2577</v>
      </c>
      <c r="K54" s="834">
        <v>40</v>
      </c>
      <c r="L54" s="115">
        <v>0</v>
      </c>
      <c r="M54" s="115">
        <f t="shared" si="2"/>
        <v>40</v>
      </c>
      <c r="N54" s="828">
        <v>2024003630017</v>
      </c>
      <c r="O54" s="826" t="s">
        <v>2570</v>
      </c>
      <c r="P54" s="513" t="s">
        <v>2578</v>
      </c>
      <c r="Q54" s="139">
        <v>50000000</v>
      </c>
      <c r="R54" s="138">
        <v>0</v>
      </c>
      <c r="S54" s="139">
        <v>0</v>
      </c>
      <c r="T54" s="139">
        <v>0</v>
      </c>
      <c r="U54" s="454">
        <f t="shared" si="0"/>
        <v>50000000</v>
      </c>
      <c r="V54" s="458" t="s">
        <v>2585</v>
      </c>
      <c r="W54" s="23" t="s">
        <v>2511</v>
      </c>
      <c r="X54" s="28" t="s">
        <v>2512</v>
      </c>
      <c r="Y54" s="836">
        <v>315</v>
      </c>
      <c r="Z54" s="836">
        <v>485</v>
      </c>
      <c r="AA54" s="836">
        <v>110</v>
      </c>
      <c r="AB54" s="836">
        <v>360</v>
      </c>
      <c r="AC54" s="836">
        <v>330</v>
      </c>
      <c r="AD54" s="836">
        <v>0</v>
      </c>
      <c r="AE54" s="115"/>
      <c r="AF54" s="115"/>
      <c r="AG54" s="115"/>
      <c r="AH54" s="115"/>
      <c r="AI54" s="115"/>
      <c r="AJ54" s="115"/>
      <c r="AK54" s="115"/>
      <c r="AL54" s="115"/>
      <c r="AM54" s="115"/>
      <c r="AN54" s="115">
        <f t="shared" si="3"/>
        <v>800</v>
      </c>
      <c r="AO54" s="144">
        <v>46024</v>
      </c>
      <c r="AP54" s="144">
        <v>46387</v>
      </c>
      <c r="AQ54" s="115" t="s">
        <v>2508</v>
      </c>
    </row>
    <row r="55" spans="1:43" ht="108" customHeight="1">
      <c r="A55" s="822">
        <v>1</v>
      </c>
      <c r="B55" s="823" t="s">
        <v>2498</v>
      </c>
      <c r="C55" s="824">
        <v>43</v>
      </c>
      <c r="D55" s="825" t="s">
        <v>2499</v>
      </c>
      <c r="E55" s="834">
        <v>4302</v>
      </c>
      <c r="F55" s="826" t="s">
        <v>2567</v>
      </c>
      <c r="G55" s="835">
        <v>4302075</v>
      </c>
      <c r="H55" s="826" t="s">
        <v>2576</v>
      </c>
      <c r="I55" s="834">
        <v>430207500</v>
      </c>
      <c r="J55" s="826" t="s">
        <v>2577</v>
      </c>
      <c r="K55" s="834">
        <v>40</v>
      </c>
      <c r="L55" s="115">
        <v>0</v>
      </c>
      <c r="M55" s="115">
        <f t="shared" si="2"/>
        <v>40</v>
      </c>
      <c r="N55" s="828">
        <v>2024003630017</v>
      </c>
      <c r="O55" s="826" t="s">
        <v>2570</v>
      </c>
      <c r="P55" s="513" t="s">
        <v>2578</v>
      </c>
      <c r="Q55" s="139">
        <v>60000000</v>
      </c>
      <c r="R55" s="138">
        <v>0</v>
      </c>
      <c r="S55" s="139">
        <v>0</v>
      </c>
      <c r="T55" s="139">
        <v>0</v>
      </c>
      <c r="U55" s="454">
        <f t="shared" si="0"/>
        <v>60000000</v>
      </c>
      <c r="V55" s="458" t="s">
        <v>2586</v>
      </c>
      <c r="W55" s="23" t="s">
        <v>2511</v>
      </c>
      <c r="X55" s="28" t="s">
        <v>2512</v>
      </c>
      <c r="Y55" s="836">
        <v>315</v>
      </c>
      <c r="Z55" s="836">
        <v>485</v>
      </c>
      <c r="AA55" s="836">
        <v>110</v>
      </c>
      <c r="AB55" s="836">
        <v>360</v>
      </c>
      <c r="AC55" s="836">
        <v>330</v>
      </c>
      <c r="AD55" s="836">
        <v>0</v>
      </c>
      <c r="AE55" s="115"/>
      <c r="AF55" s="115"/>
      <c r="AG55" s="115"/>
      <c r="AH55" s="115"/>
      <c r="AI55" s="115"/>
      <c r="AJ55" s="115"/>
      <c r="AK55" s="115"/>
      <c r="AL55" s="115"/>
      <c r="AM55" s="115"/>
      <c r="AN55" s="115">
        <f t="shared" si="3"/>
        <v>800</v>
      </c>
      <c r="AO55" s="144">
        <v>46024</v>
      </c>
      <c r="AP55" s="144">
        <v>46387</v>
      </c>
      <c r="AQ55" s="115" t="s">
        <v>2508</v>
      </c>
    </row>
    <row r="56" spans="1:43" ht="108" customHeight="1">
      <c r="A56" s="822">
        <v>1</v>
      </c>
      <c r="B56" s="823" t="s">
        <v>2498</v>
      </c>
      <c r="C56" s="824">
        <v>43</v>
      </c>
      <c r="D56" s="825" t="s">
        <v>2499</v>
      </c>
      <c r="E56" s="834">
        <v>4302</v>
      </c>
      <c r="F56" s="826" t="s">
        <v>2567</v>
      </c>
      <c r="G56" s="835">
        <v>4302075</v>
      </c>
      <c r="H56" s="826" t="s">
        <v>2576</v>
      </c>
      <c r="I56" s="834">
        <v>430207500</v>
      </c>
      <c r="J56" s="826" t="s">
        <v>2577</v>
      </c>
      <c r="K56" s="834">
        <v>40</v>
      </c>
      <c r="L56" s="115">
        <v>0</v>
      </c>
      <c r="M56" s="115">
        <f t="shared" si="2"/>
        <v>40</v>
      </c>
      <c r="N56" s="828">
        <v>2024003630017</v>
      </c>
      <c r="O56" s="826" t="s">
        <v>2570</v>
      </c>
      <c r="P56" s="513" t="s">
        <v>2578</v>
      </c>
      <c r="Q56" s="139">
        <v>30000000</v>
      </c>
      <c r="R56" s="138">
        <v>0</v>
      </c>
      <c r="S56" s="139">
        <v>0</v>
      </c>
      <c r="T56" s="139">
        <v>0</v>
      </c>
      <c r="U56" s="454">
        <f t="shared" si="0"/>
        <v>30000000</v>
      </c>
      <c r="V56" s="458" t="s">
        <v>2587</v>
      </c>
      <c r="W56" s="23" t="s">
        <v>2511</v>
      </c>
      <c r="X56" s="28" t="s">
        <v>2512</v>
      </c>
      <c r="Y56" s="836">
        <v>315</v>
      </c>
      <c r="Z56" s="836">
        <v>485</v>
      </c>
      <c r="AA56" s="836">
        <v>110</v>
      </c>
      <c r="AB56" s="836">
        <v>360</v>
      </c>
      <c r="AC56" s="836">
        <v>330</v>
      </c>
      <c r="AD56" s="836">
        <v>0</v>
      </c>
      <c r="AE56" s="115"/>
      <c r="AF56" s="115"/>
      <c r="AG56" s="115"/>
      <c r="AH56" s="115"/>
      <c r="AI56" s="115"/>
      <c r="AJ56" s="115"/>
      <c r="AK56" s="115"/>
      <c r="AL56" s="115"/>
      <c r="AM56" s="115"/>
      <c r="AN56" s="115">
        <f t="shared" si="3"/>
        <v>800</v>
      </c>
      <c r="AO56" s="144">
        <v>46024</v>
      </c>
      <c r="AP56" s="144">
        <v>46387</v>
      </c>
      <c r="AQ56" s="115" t="s">
        <v>2508</v>
      </c>
    </row>
    <row r="57" spans="1:43" ht="108" customHeight="1">
      <c r="A57" s="822">
        <v>1</v>
      </c>
      <c r="B57" s="823" t="s">
        <v>2498</v>
      </c>
      <c r="C57" s="824">
        <v>43</v>
      </c>
      <c r="D57" s="825" t="s">
        <v>2499</v>
      </c>
      <c r="E57" s="834">
        <v>4302</v>
      </c>
      <c r="F57" s="826" t="s">
        <v>2567</v>
      </c>
      <c r="G57" s="835">
        <v>4302075</v>
      </c>
      <c r="H57" s="826" t="s">
        <v>2576</v>
      </c>
      <c r="I57" s="834">
        <v>430207500</v>
      </c>
      <c r="J57" s="826" t="s">
        <v>2577</v>
      </c>
      <c r="K57" s="834">
        <v>40</v>
      </c>
      <c r="L57" s="115">
        <v>0</v>
      </c>
      <c r="M57" s="115">
        <f t="shared" si="2"/>
        <v>40</v>
      </c>
      <c r="N57" s="828">
        <v>2024003630017</v>
      </c>
      <c r="O57" s="826" t="s">
        <v>2570</v>
      </c>
      <c r="P57" s="513" t="s">
        <v>2578</v>
      </c>
      <c r="Q57" s="139">
        <v>150000000</v>
      </c>
      <c r="R57" s="138">
        <v>0</v>
      </c>
      <c r="S57" s="139">
        <v>0</v>
      </c>
      <c r="T57" s="139">
        <v>0</v>
      </c>
      <c r="U57" s="454">
        <f t="shared" si="0"/>
        <v>150000000</v>
      </c>
      <c r="V57" s="458" t="s">
        <v>2588</v>
      </c>
      <c r="W57" s="23" t="s">
        <v>2511</v>
      </c>
      <c r="X57" s="28" t="s">
        <v>2512</v>
      </c>
      <c r="Y57" s="836">
        <v>315</v>
      </c>
      <c r="Z57" s="836">
        <v>485</v>
      </c>
      <c r="AA57" s="836">
        <v>110</v>
      </c>
      <c r="AB57" s="836">
        <v>360</v>
      </c>
      <c r="AC57" s="836">
        <v>330</v>
      </c>
      <c r="AD57" s="836">
        <v>0</v>
      </c>
      <c r="AE57" s="115"/>
      <c r="AF57" s="115"/>
      <c r="AG57" s="115"/>
      <c r="AH57" s="115"/>
      <c r="AI57" s="115"/>
      <c r="AJ57" s="115"/>
      <c r="AK57" s="115"/>
      <c r="AL57" s="115"/>
      <c r="AM57" s="115"/>
      <c r="AN57" s="115">
        <f t="shared" si="3"/>
        <v>800</v>
      </c>
      <c r="AO57" s="144">
        <v>46024</v>
      </c>
      <c r="AP57" s="144">
        <v>46387</v>
      </c>
      <c r="AQ57" s="115" t="s">
        <v>2508</v>
      </c>
    </row>
    <row r="58" spans="1:43" ht="108" customHeight="1">
      <c r="A58" s="822">
        <v>1</v>
      </c>
      <c r="B58" s="823" t="s">
        <v>2498</v>
      </c>
      <c r="C58" s="824">
        <v>43</v>
      </c>
      <c r="D58" s="825" t="s">
        <v>2499</v>
      </c>
      <c r="E58" s="834">
        <v>4302</v>
      </c>
      <c r="F58" s="826" t="s">
        <v>2567</v>
      </c>
      <c r="G58" s="835">
        <v>4302075</v>
      </c>
      <c r="H58" s="826" t="s">
        <v>2576</v>
      </c>
      <c r="I58" s="834">
        <v>430207500</v>
      </c>
      <c r="J58" s="826" t="s">
        <v>2577</v>
      </c>
      <c r="K58" s="834">
        <v>40</v>
      </c>
      <c r="L58" s="115">
        <v>0</v>
      </c>
      <c r="M58" s="115">
        <f t="shared" si="2"/>
        <v>40</v>
      </c>
      <c r="N58" s="828">
        <v>2024003630017</v>
      </c>
      <c r="O58" s="826" t="s">
        <v>2570</v>
      </c>
      <c r="P58" s="513" t="s">
        <v>2578</v>
      </c>
      <c r="Q58" s="139">
        <v>110000000</v>
      </c>
      <c r="R58" s="138">
        <v>0</v>
      </c>
      <c r="S58" s="139">
        <v>0</v>
      </c>
      <c r="T58" s="139">
        <v>0</v>
      </c>
      <c r="U58" s="454">
        <f t="shared" si="0"/>
        <v>110000000</v>
      </c>
      <c r="V58" s="458" t="s">
        <v>2589</v>
      </c>
      <c r="W58" s="23" t="s">
        <v>2511</v>
      </c>
      <c r="X58" s="28" t="s">
        <v>2512</v>
      </c>
      <c r="Y58" s="836">
        <v>315</v>
      </c>
      <c r="Z58" s="836">
        <v>485</v>
      </c>
      <c r="AA58" s="836">
        <v>110</v>
      </c>
      <c r="AB58" s="836">
        <v>360</v>
      </c>
      <c r="AC58" s="836">
        <v>330</v>
      </c>
      <c r="AD58" s="836">
        <v>0</v>
      </c>
      <c r="AE58" s="115"/>
      <c r="AF58" s="115"/>
      <c r="AG58" s="115"/>
      <c r="AH58" s="115"/>
      <c r="AI58" s="115"/>
      <c r="AJ58" s="115"/>
      <c r="AK58" s="115"/>
      <c r="AL58" s="115"/>
      <c r="AM58" s="115"/>
      <c r="AN58" s="115">
        <f t="shared" si="3"/>
        <v>800</v>
      </c>
      <c r="AO58" s="144">
        <v>46024</v>
      </c>
      <c r="AP58" s="144">
        <v>46387</v>
      </c>
      <c r="AQ58" s="115" t="s">
        <v>2508</v>
      </c>
    </row>
    <row r="59" spans="1:43" ht="108" customHeight="1">
      <c r="A59" s="822">
        <v>1</v>
      </c>
      <c r="B59" s="823" t="s">
        <v>2498</v>
      </c>
      <c r="C59" s="824">
        <v>43</v>
      </c>
      <c r="D59" s="825" t="s">
        <v>2499</v>
      </c>
      <c r="E59" s="834">
        <v>4302</v>
      </c>
      <c r="F59" s="826" t="s">
        <v>2567</v>
      </c>
      <c r="G59" s="835">
        <v>4302075</v>
      </c>
      <c r="H59" s="826" t="s">
        <v>2576</v>
      </c>
      <c r="I59" s="834">
        <v>430207500</v>
      </c>
      <c r="J59" s="826" t="s">
        <v>2577</v>
      </c>
      <c r="K59" s="834">
        <v>40</v>
      </c>
      <c r="L59" s="115">
        <v>0</v>
      </c>
      <c r="M59" s="115">
        <f t="shared" si="2"/>
        <v>40</v>
      </c>
      <c r="N59" s="828">
        <v>2024003630017</v>
      </c>
      <c r="O59" s="826" t="s">
        <v>2570</v>
      </c>
      <c r="P59" s="513" t="s">
        <v>2578</v>
      </c>
      <c r="Q59" s="139">
        <v>30000000</v>
      </c>
      <c r="R59" s="138">
        <v>0</v>
      </c>
      <c r="S59" s="139">
        <v>0</v>
      </c>
      <c r="T59" s="139">
        <v>0</v>
      </c>
      <c r="U59" s="454">
        <f t="shared" si="0"/>
        <v>30000000</v>
      </c>
      <c r="V59" s="458" t="s">
        <v>2590</v>
      </c>
      <c r="W59" s="23" t="s">
        <v>2511</v>
      </c>
      <c r="X59" s="28" t="s">
        <v>2512</v>
      </c>
      <c r="Y59" s="836">
        <v>315</v>
      </c>
      <c r="Z59" s="836">
        <v>485</v>
      </c>
      <c r="AA59" s="836">
        <v>110</v>
      </c>
      <c r="AB59" s="836">
        <v>360</v>
      </c>
      <c r="AC59" s="836">
        <v>330</v>
      </c>
      <c r="AD59" s="836">
        <v>0</v>
      </c>
      <c r="AE59" s="115"/>
      <c r="AF59" s="115"/>
      <c r="AG59" s="115"/>
      <c r="AH59" s="115"/>
      <c r="AI59" s="115"/>
      <c r="AJ59" s="115"/>
      <c r="AK59" s="115"/>
      <c r="AL59" s="115"/>
      <c r="AM59" s="115"/>
      <c r="AN59" s="115">
        <f t="shared" si="3"/>
        <v>800</v>
      </c>
      <c r="AO59" s="144">
        <v>46024</v>
      </c>
      <c r="AP59" s="144">
        <v>46387</v>
      </c>
      <c r="AQ59" s="115" t="s">
        <v>2508</v>
      </c>
    </row>
    <row r="60" spans="1:43" ht="108" customHeight="1">
      <c r="A60" s="822">
        <v>1</v>
      </c>
      <c r="B60" s="823" t="s">
        <v>2498</v>
      </c>
      <c r="C60" s="824">
        <v>43</v>
      </c>
      <c r="D60" s="825" t="s">
        <v>2499</v>
      </c>
      <c r="E60" s="834">
        <v>4302</v>
      </c>
      <c r="F60" s="826" t="s">
        <v>2567</v>
      </c>
      <c r="G60" s="835">
        <v>4302075</v>
      </c>
      <c r="H60" s="826" t="s">
        <v>2576</v>
      </c>
      <c r="I60" s="834">
        <v>430207500</v>
      </c>
      <c r="J60" s="826" t="s">
        <v>2577</v>
      </c>
      <c r="K60" s="834">
        <v>40</v>
      </c>
      <c r="L60" s="115">
        <v>0</v>
      </c>
      <c r="M60" s="115">
        <f t="shared" si="2"/>
        <v>40</v>
      </c>
      <c r="N60" s="828">
        <v>2024003630017</v>
      </c>
      <c r="O60" s="826" t="s">
        <v>2570</v>
      </c>
      <c r="P60" s="513" t="s">
        <v>2578</v>
      </c>
      <c r="Q60" s="139">
        <v>20000000</v>
      </c>
      <c r="R60" s="138">
        <v>0</v>
      </c>
      <c r="S60" s="139">
        <v>0</v>
      </c>
      <c r="T60" s="139">
        <v>0</v>
      </c>
      <c r="U60" s="454">
        <f t="shared" si="0"/>
        <v>20000000</v>
      </c>
      <c r="V60" s="458" t="s">
        <v>2591</v>
      </c>
      <c r="W60" s="23" t="s">
        <v>2506</v>
      </c>
      <c r="X60" s="28" t="s">
        <v>2507</v>
      </c>
      <c r="Y60" s="836">
        <v>315</v>
      </c>
      <c r="Z60" s="836">
        <v>485</v>
      </c>
      <c r="AA60" s="836">
        <v>110</v>
      </c>
      <c r="AB60" s="836">
        <v>360</v>
      </c>
      <c r="AC60" s="836">
        <v>330</v>
      </c>
      <c r="AD60" s="836">
        <v>0</v>
      </c>
      <c r="AE60" s="115"/>
      <c r="AF60" s="115"/>
      <c r="AG60" s="115"/>
      <c r="AH60" s="115"/>
      <c r="AI60" s="115"/>
      <c r="AJ60" s="115"/>
      <c r="AK60" s="115"/>
      <c r="AL60" s="115"/>
      <c r="AM60" s="115"/>
      <c r="AN60" s="115">
        <f t="shared" si="3"/>
        <v>800</v>
      </c>
      <c r="AO60" s="144">
        <v>46024</v>
      </c>
      <c r="AP60" s="144">
        <v>46387</v>
      </c>
      <c r="AQ60" s="115" t="s">
        <v>2508</v>
      </c>
    </row>
    <row r="61" spans="1:43" ht="108" customHeight="1">
      <c r="A61" s="822">
        <v>1</v>
      </c>
      <c r="B61" s="823" t="s">
        <v>2498</v>
      </c>
      <c r="C61" s="824">
        <v>43</v>
      </c>
      <c r="D61" s="825" t="s">
        <v>2499</v>
      </c>
      <c r="E61" s="834">
        <v>4302</v>
      </c>
      <c r="F61" s="826" t="s">
        <v>2567</v>
      </c>
      <c r="G61" s="835">
        <v>4302075</v>
      </c>
      <c r="H61" s="826" t="s">
        <v>2576</v>
      </c>
      <c r="I61" s="834">
        <v>430207500</v>
      </c>
      <c r="J61" s="826" t="s">
        <v>2577</v>
      </c>
      <c r="K61" s="834">
        <v>40</v>
      </c>
      <c r="L61" s="115">
        <v>0</v>
      </c>
      <c r="M61" s="115">
        <f t="shared" si="2"/>
        <v>40</v>
      </c>
      <c r="N61" s="828">
        <v>2024003630017</v>
      </c>
      <c r="O61" s="826" t="s">
        <v>2570</v>
      </c>
      <c r="P61" s="513" t="s">
        <v>2592</v>
      </c>
      <c r="Q61" s="139">
        <v>1000000000</v>
      </c>
      <c r="R61" s="138">
        <v>0</v>
      </c>
      <c r="S61" s="139">
        <v>0</v>
      </c>
      <c r="T61" s="139">
        <v>0</v>
      </c>
      <c r="U61" s="454">
        <f t="shared" si="0"/>
        <v>1000000000</v>
      </c>
      <c r="V61" s="458" t="s">
        <v>2593</v>
      </c>
      <c r="W61" s="23" t="s">
        <v>2511</v>
      </c>
      <c r="X61" s="28" t="s">
        <v>2512</v>
      </c>
      <c r="Y61" s="836">
        <v>315</v>
      </c>
      <c r="Z61" s="836">
        <v>485</v>
      </c>
      <c r="AA61" s="836">
        <v>110</v>
      </c>
      <c r="AB61" s="836">
        <v>360</v>
      </c>
      <c r="AC61" s="836">
        <v>330</v>
      </c>
      <c r="AD61" s="836">
        <v>0</v>
      </c>
      <c r="AE61" s="115"/>
      <c r="AF61" s="115"/>
      <c r="AG61" s="115"/>
      <c r="AH61" s="115"/>
      <c r="AI61" s="115"/>
      <c r="AJ61" s="115"/>
      <c r="AK61" s="115"/>
      <c r="AL61" s="115"/>
      <c r="AM61" s="115"/>
      <c r="AN61" s="115">
        <f t="shared" si="3"/>
        <v>800</v>
      </c>
      <c r="AO61" s="144">
        <v>46024</v>
      </c>
      <c r="AP61" s="144">
        <v>46387</v>
      </c>
      <c r="AQ61" s="115" t="s">
        <v>2508</v>
      </c>
    </row>
    <row r="62" spans="1:43" ht="108" customHeight="1">
      <c r="A62" s="822">
        <v>1</v>
      </c>
      <c r="B62" s="823" t="s">
        <v>2498</v>
      </c>
      <c r="C62" s="824">
        <v>43</v>
      </c>
      <c r="D62" s="825" t="s">
        <v>2499</v>
      </c>
      <c r="E62" s="834">
        <v>4302</v>
      </c>
      <c r="F62" s="826" t="s">
        <v>2567</v>
      </c>
      <c r="G62" s="835">
        <v>4302075</v>
      </c>
      <c r="H62" s="826" t="s">
        <v>2576</v>
      </c>
      <c r="I62" s="834">
        <v>430207500</v>
      </c>
      <c r="J62" s="826" t="s">
        <v>2577</v>
      </c>
      <c r="K62" s="834">
        <v>40</v>
      </c>
      <c r="L62" s="115">
        <v>0</v>
      </c>
      <c r="M62" s="115">
        <f t="shared" si="2"/>
        <v>40</v>
      </c>
      <c r="N62" s="828">
        <v>2024003630017</v>
      </c>
      <c r="O62" s="826" t="s">
        <v>2570</v>
      </c>
      <c r="P62" s="513" t="s">
        <v>2594</v>
      </c>
      <c r="Q62" s="139">
        <v>1220000000</v>
      </c>
      <c r="R62" s="138">
        <v>0</v>
      </c>
      <c r="S62" s="139">
        <v>0</v>
      </c>
      <c r="T62" s="139">
        <v>0</v>
      </c>
      <c r="U62" s="454">
        <f t="shared" si="0"/>
        <v>1220000000</v>
      </c>
      <c r="V62" s="458" t="s">
        <v>2590</v>
      </c>
      <c r="W62" s="23" t="s">
        <v>2511</v>
      </c>
      <c r="X62" s="28" t="s">
        <v>2512</v>
      </c>
      <c r="Y62" s="836">
        <v>315</v>
      </c>
      <c r="Z62" s="836">
        <v>485</v>
      </c>
      <c r="AA62" s="836">
        <v>110</v>
      </c>
      <c r="AB62" s="836">
        <v>360</v>
      </c>
      <c r="AC62" s="836">
        <v>330</v>
      </c>
      <c r="AD62" s="836">
        <v>0</v>
      </c>
      <c r="AE62" s="115"/>
      <c r="AF62" s="115"/>
      <c r="AG62" s="115"/>
      <c r="AH62" s="115"/>
      <c r="AI62" s="115"/>
      <c r="AJ62" s="115"/>
      <c r="AK62" s="115"/>
      <c r="AL62" s="115"/>
      <c r="AM62" s="115"/>
      <c r="AN62" s="115">
        <f t="shared" si="3"/>
        <v>800</v>
      </c>
      <c r="AO62" s="144">
        <v>46024</v>
      </c>
      <c r="AP62" s="144">
        <v>46387</v>
      </c>
      <c r="AQ62" s="115" t="s">
        <v>2508</v>
      </c>
    </row>
    <row r="63" spans="1:43" ht="108" customHeight="1">
      <c r="A63" s="822">
        <v>1</v>
      </c>
      <c r="B63" s="823" t="s">
        <v>2498</v>
      </c>
      <c r="C63" s="824">
        <v>43</v>
      </c>
      <c r="D63" s="825" t="s">
        <v>2499</v>
      </c>
      <c r="E63" s="834">
        <v>4302</v>
      </c>
      <c r="F63" s="826" t="s">
        <v>2567</v>
      </c>
      <c r="G63" s="835">
        <v>4302075</v>
      </c>
      <c r="H63" s="826" t="s">
        <v>2576</v>
      </c>
      <c r="I63" s="834">
        <v>430207500</v>
      </c>
      <c r="J63" s="826" t="s">
        <v>2577</v>
      </c>
      <c r="K63" s="834">
        <v>40</v>
      </c>
      <c r="L63" s="115">
        <v>0</v>
      </c>
      <c r="M63" s="115">
        <f t="shared" si="2"/>
        <v>40</v>
      </c>
      <c r="N63" s="828">
        <v>2024003630017</v>
      </c>
      <c r="O63" s="826" t="s">
        <v>2570</v>
      </c>
      <c r="P63" s="513" t="s">
        <v>2594</v>
      </c>
      <c r="Q63" s="139">
        <v>200000000</v>
      </c>
      <c r="R63" s="138">
        <v>0</v>
      </c>
      <c r="S63" s="139">
        <v>0</v>
      </c>
      <c r="T63" s="139">
        <v>0</v>
      </c>
      <c r="U63" s="454">
        <f t="shared" si="0"/>
        <v>200000000</v>
      </c>
      <c r="V63" s="458" t="s">
        <v>2591</v>
      </c>
      <c r="W63" s="23" t="s">
        <v>2506</v>
      </c>
      <c r="X63" s="28" t="s">
        <v>2507</v>
      </c>
      <c r="Y63" s="836">
        <v>315</v>
      </c>
      <c r="Z63" s="836">
        <v>485</v>
      </c>
      <c r="AA63" s="836">
        <v>110</v>
      </c>
      <c r="AB63" s="836">
        <v>360</v>
      </c>
      <c r="AC63" s="836">
        <v>330</v>
      </c>
      <c r="AD63" s="836">
        <v>0</v>
      </c>
      <c r="AE63" s="115"/>
      <c r="AF63" s="115"/>
      <c r="AG63" s="115"/>
      <c r="AH63" s="115"/>
      <c r="AI63" s="115"/>
      <c r="AJ63" s="115"/>
      <c r="AK63" s="115"/>
      <c r="AL63" s="115"/>
      <c r="AM63" s="115"/>
      <c r="AN63" s="115">
        <f t="shared" si="3"/>
        <v>800</v>
      </c>
      <c r="AO63" s="144">
        <v>46024</v>
      </c>
      <c r="AP63" s="144">
        <v>46387</v>
      </c>
      <c r="AQ63" s="115" t="s">
        <v>2508</v>
      </c>
    </row>
    <row r="64" spans="1:43" ht="108" customHeight="1">
      <c r="A64" s="822">
        <v>1</v>
      </c>
      <c r="B64" s="823" t="s">
        <v>2498</v>
      </c>
      <c r="C64" s="824">
        <v>43</v>
      </c>
      <c r="D64" s="825" t="s">
        <v>2499</v>
      </c>
      <c r="E64" s="834">
        <v>4302</v>
      </c>
      <c r="F64" s="826" t="s">
        <v>2567</v>
      </c>
      <c r="G64" s="835">
        <v>4302075</v>
      </c>
      <c r="H64" s="826" t="s">
        <v>2576</v>
      </c>
      <c r="I64" s="834">
        <v>430207500</v>
      </c>
      <c r="J64" s="826" t="s">
        <v>2577</v>
      </c>
      <c r="K64" s="834">
        <v>40</v>
      </c>
      <c r="L64" s="115">
        <v>0</v>
      </c>
      <c r="M64" s="115">
        <f t="shared" si="2"/>
        <v>40</v>
      </c>
      <c r="N64" s="828">
        <v>2024003630017</v>
      </c>
      <c r="O64" s="826" t="s">
        <v>2570</v>
      </c>
      <c r="P64" s="513" t="s">
        <v>2594</v>
      </c>
      <c r="Q64" s="139">
        <v>570000000</v>
      </c>
      <c r="R64" s="138">
        <v>0</v>
      </c>
      <c r="S64" s="139">
        <v>0</v>
      </c>
      <c r="T64" s="139">
        <v>0</v>
      </c>
      <c r="U64" s="454">
        <f t="shared" si="0"/>
        <v>570000000</v>
      </c>
      <c r="V64" s="458" t="s">
        <v>2595</v>
      </c>
      <c r="W64" s="23" t="s">
        <v>2522</v>
      </c>
      <c r="X64" s="28" t="s">
        <v>2523</v>
      </c>
      <c r="Y64" s="836">
        <v>315</v>
      </c>
      <c r="Z64" s="836">
        <v>485</v>
      </c>
      <c r="AA64" s="836">
        <v>110</v>
      </c>
      <c r="AB64" s="836">
        <v>360</v>
      </c>
      <c r="AC64" s="836">
        <v>330</v>
      </c>
      <c r="AD64" s="836">
        <v>0</v>
      </c>
      <c r="AE64" s="115"/>
      <c r="AF64" s="115"/>
      <c r="AG64" s="115"/>
      <c r="AH64" s="115"/>
      <c r="AI64" s="115"/>
      <c r="AJ64" s="115"/>
      <c r="AK64" s="115"/>
      <c r="AL64" s="115"/>
      <c r="AM64" s="115"/>
      <c r="AN64" s="115">
        <f t="shared" si="3"/>
        <v>800</v>
      </c>
      <c r="AO64" s="144">
        <v>46024</v>
      </c>
      <c r="AP64" s="144">
        <v>46387</v>
      </c>
      <c r="AQ64" s="115" t="s">
        <v>2508</v>
      </c>
    </row>
    <row r="65" spans="1:44" ht="108" customHeight="1">
      <c r="A65" s="822">
        <v>1</v>
      </c>
      <c r="B65" s="823" t="s">
        <v>2498</v>
      </c>
      <c r="C65" s="824">
        <v>43</v>
      </c>
      <c r="D65" s="825" t="s">
        <v>2499</v>
      </c>
      <c r="E65" s="834">
        <v>4302</v>
      </c>
      <c r="F65" s="826" t="s">
        <v>2567</v>
      </c>
      <c r="G65" s="835">
        <v>4302075</v>
      </c>
      <c r="H65" s="826" t="s">
        <v>2576</v>
      </c>
      <c r="I65" s="834">
        <v>430207500</v>
      </c>
      <c r="J65" s="826" t="s">
        <v>2577</v>
      </c>
      <c r="K65" s="834">
        <v>40</v>
      </c>
      <c r="L65" s="115">
        <v>0</v>
      </c>
      <c r="M65" s="115">
        <f t="shared" si="2"/>
        <v>40</v>
      </c>
      <c r="N65" s="828">
        <v>2024003630017</v>
      </c>
      <c r="O65" s="826" t="s">
        <v>2570</v>
      </c>
      <c r="P65" s="513" t="s">
        <v>2596</v>
      </c>
      <c r="Q65" s="139">
        <v>300000000</v>
      </c>
      <c r="R65" s="138">
        <v>0</v>
      </c>
      <c r="S65" s="139">
        <v>0</v>
      </c>
      <c r="T65" s="139">
        <v>0</v>
      </c>
      <c r="U65" s="454">
        <f t="shared" si="0"/>
        <v>300000000</v>
      </c>
      <c r="V65" s="458" t="s">
        <v>2597</v>
      </c>
      <c r="W65" s="23" t="s">
        <v>2511</v>
      </c>
      <c r="X65" s="28" t="s">
        <v>2512</v>
      </c>
      <c r="Y65" s="836">
        <v>315</v>
      </c>
      <c r="Z65" s="836">
        <v>485</v>
      </c>
      <c r="AA65" s="836">
        <v>110</v>
      </c>
      <c r="AB65" s="836">
        <v>360</v>
      </c>
      <c r="AC65" s="836">
        <v>330</v>
      </c>
      <c r="AD65" s="836">
        <v>0</v>
      </c>
      <c r="AE65" s="115"/>
      <c r="AF65" s="115"/>
      <c r="AG65" s="115"/>
      <c r="AH65" s="115"/>
      <c r="AI65" s="115"/>
      <c r="AJ65" s="115"/>
      <c r="AK65" s="115"/>
      <c r="AL65" s="115"/>
      <c r="AM65" s="115"/>
      <c r="AN65" s="115">
        <f t="shared" si="3"/>
        <v>800</v>
      </c>
      <c r="AO65" s="144">
        <v>46024</v>
      </c>
      <c r="AP65" s="144">
        <v>46387</v>
      </c>
      <c r="AQ65" s="115" t="s">
        <v>2508</v>
      </c>
    </row>
    <row r="66" spans="1:44" ht="108" customHeight="1" thickBot="1">
      <c r="A66" s="822">
        <v>1</v>
      </c>
      <c r="B66" s="823" t="s">
        <v>2498</v>
      </c>
      <c r="C66" s="824">
        <v>43</v>
      </c>
      <c r="D66" s="825" t="s">
        <v>2499</v>
      </c>
      <c r="E66" s="834">
        <v>4302</v>
      </c>
      <c r="F66" s="826" t="s">
        <v>2567</v>
      </c>
      <c r="G66" s="835">
        <v>4302075</v>
      </c>
      <c r="H66" s="826" t="s">
        <v>2576</v>
      </c>
      <c r="I66" s="834">
        <v>430207500</v>
      </c>
      <c r="J66" s="826" t="s">
        <v>2577</v>
      </c>
      <c r="K66" s="834">
        <v>40</v>
      </c>
      <c r="L66" s="115">
        <v>0</v>
      </c>
      <c r="M66" s="115">
        <f t="shared" si="2"/>
        <v>40</v>
      </c>
      <c r="N66" s="828">
        <v>2024003630017</v>
      </c>
      <c r="O66" s="826" t="s">
        <v>2570</v>
      </c>
      <c r="P66" s="513" t="s">
        <v>2596</v>
      </c>
      <c r="Q66" s="139">
        <v>70000000</v>
      </c>
      <c r="R66" s="138">
        <v>0</v>
      </c>
      <c r="S66" s="139">
        <v>0</v>
      </c>
      <c r="T66" s="139">
        <v>0</v>
      </c>
      <c r="U66" s="454">
        <f t="shared" si="0"/>
        <v>70000000</v>
      </c>
      <c r="V66" s="458" t="s">
        <v>2598</v>
      </c>
      <c r="W66" s="23" t="s">
        <v>2506</v>
      </c>
      <c r="X66" s="28" t="s">
        <v>2507</v>
      </c>
      <c r="Y66" s="836">
        <v>315</v>
      </c>
      <c r="Z66" s="836">
        <v>485</v>
      </c>
      <c r="AA66" s="836">
        <v>110</v>
      </c>
      <c r="AB66" s="836">
        <v>360</v>
      </c>
      <c r="AC66" s="836">
        <v>330</v>
      </c>
      <c r="AD66" s="836">
        <v>0</v>
      </c>
      <c r="AE66" s="115"/>
      <c r="AF66" s="115"/>
      <c r="AG66" s="115"/>
      <c r="AH66" s="115"/>
      <c r="AI66" s="115"/>
      <c r="AJ66" s="115"/>
      <c r="AK66" s="115"/>
      <c r="AL66" s="115"/>
      <c r="AM66" s="115"/>
      <c r="AN66" s="115">
        <f t="shared" si="3"/>
        <v>800</v>
      </c>
      <c r="AO66" s="144">
        <v>46024</v>
      </c>
      <c r="AP66" s="144">
        <v>46387</v>
      </c>
      <c r="AQ66" s="115" t="s">
        <v>2508</v>
      </c>
    </row>
    <row r="67" spans="1:44" s="17" customFormat="1" ht="27.6" customHeight="1" thickBot="1">
      <c r="A67" s="20"/>
      <c r="B67" s="21"/>
      <c r="C67" s="21"/>
      <c r="D67" s="21"/>
      <c r="E67" s="21"/>
      <c r="F67" s="21"/>
      <c r="G67" s="21"/>
      <c r="H67" s="21"/>
      <c r="I67" s="21"/>
      <c r="J67" s="21"/>
      <c r="K67" s="21"/>
      <c r="L67" s="21"/>
      <c r="M67" s="21"/>
      <c r="N67" s="21"/>
      <c r="O67" s="21"/>
      <c r="P67" s="26"/>
      <c r="Q67" s="27">
        <f>SUM(Q10:Q66)</f>
        <v>9597281917</v>
      </c>
      <c r="R67" s="30"/>
      <c r="S67" s="30"/>
      <c r="T67" s="30"/>
      <c r="U67" s="30"/>
      <c r="V67" s="21"/>
      <c r="W67" s="21"/>
      <c r="X67" s="21"/>
      <c r="Y67" s="21"/>
      <c r="Z67" s="21"/>
      <c r="AA67" s="21"/>
      <c r="AB67" s="21"/>
      <c r="AC67" s="21"/>
      <c r="AD67" s="21"/>
      <c r="AE67" s="21"/>
      <c r="AF67" s="21"/>
      <c r="AG67" s="21"/>
      <c r="AH67" s="21"/>
      <c r="AI67" s="21"/>
      <c r="AJ67" s="21"/>
      <c r="AK67" s="21"/>
      <c r="AL67" s="21"/>
      <c r="AM67" s="21"/>
      <c r="AN67" s="21"/>
      <c r="AO67" s="21"/>
      <c r="AP67" s="21"/>
      <c r="AQ67" s="22"/>
    </row>
    <row r="68" spans="1:44" s="17" customFormat="1" ht="14.25">
      <c r="W68" s="18"/>
      <c r="X68" s="18"/>
    </row>
    <row r="69" spans="1:44" s="17" customFormat="1" ht="14.25">
      <c r="W69" s="18"/>
      <c r="X69" s="18"/>
    </row>
    <row r="70" spans="1:44" s="17" customFormat="1" ht="14.25">
      <c r="W70" s="18"/>
      <c r="X70" s="18"/>
    </row>
    <row r="71" spans="1:44" s="17" customFormat="1" ht="14.25">
      <c r="W71" s="18"/>
      <c r="X71" s="18"/>
    </row>
    <row r="72" spans="1:44" s="17" customFormat="1">
      <c r="K72" s="980" t="s">
        <v>2599</v>
      </c>
      <c r="L72" s="980"/>
      <c r="M72" s="980"/>
      <c r="N72" s="980"/>
      <c r="O72" s="980"/>
      <c r="P72" s="980"/>
      <c r="Q72" s="980"/>
      <c r="R72" s="37"/>
      <c r="S72" s="31"/>
      <c r="T72" s="31"/>
      <c r="U72" s="31"/>
      <c r="W72" s="18"/>
      <c r="X72" s="18"/>
    </row>
    <row r="73" spans="1:44">
      <c r="K73" s="981" t="s">
        <v>2355</v>
      </c>
      <c r="L73" s="981"/>
      <c r="M73" s="981"/>
      <c r="N73" s="981"/>
      <c r="O73" s="981"/>
      <c r="P73" s="981"/>
      <c r="Q73" s="981"/>
      <c r="R73" s="38"/>
      <c r="S73" s="964"/>
      <c r="T73" s="964"/>
      <c r="U73" s="964"/>
    </row>
    <row r="74" spans="1:44">
      <c r="A74" s="17"/>
      <c r="B74" s="17"/>
      <c r="C74" s="17"/>
      <c r="D74" s="17"/>
      <c r="E74" s="17"/>
      <c r="F74" s="17"/>
      <c r="G74" s="17"/>
      <c r="H74" s="17"/>
      <c r="I74" s="17"/>
      <c r="J74" s="17"/>
      <c r="K74" s="17"/>
      <c r="L74" s="17"/>
      <c r="M74" s="17"/>
      <c r="N74" s="17"/>
      <c r="O74" s="17"/>
      <c r="P74" s="17"/>
      <c r="Q74" s="17"/>
      <c r="R74" s="17"/>
      <c r="S74" s="17"/>
      <c r="T74" s="17"/>
      <c r="U74" s="17"/>
      <c r="V74" s="17"/>
      <c r="W74" s="18"/>
      <c r="X74" s="18"/>
      <c r="Y74" s="17"/>
      <c r="Z74" s="17"/>
      <c r="AA74" s="17"/>
      <c r="AB74" s="17"/>
      <c r="AC74" s="17"/>
      <c r="AD74" s="17"/>
      <c r="AE74" s="17"/>
      <c r="AF74" s="17"/>
      <c r="AG74" s="17"/>
      <c r="AH74" s="17"/>
      <c r="AI74" s="17"/>
      <c r="AJ74" s="17"/>
      <c r="AK74" s="17"/>
      <c r="AL74" s="17"/>
      <c r="AM74" s="17"/>
      <c r="AN74" s="17"/>
      <c r="AO74" s="17"/>
      <c r="AP74" s="17"/>
      <c r="AQ74" s="17"/>
      <c r="AR74" s="17"/>
    </row>
    <row r="75" spans="1:44">
      <c r="A75" s="17"/>
      <c r="B75" s="17"/>
      <c r="C75" s="17"/>
      <c r="D75" s="17"/>
      <c r="E75" s="17"/>
      <c r="F75" s="17"/>
      <c r="G75" s="17"/>
      <c r="H75" s="17"/>
      <c r="I75" s="17"/>
      <c r="J75" s="17"/>
      <c r="K75" s="17"/>
      <c r="L75" s="17"/>
      <c r="M75" s="17"/>
      <c r="N75" s="17"/>
      <c r="O75" s="17"/>
      <c r="P75" s="17"/>
      <c r="Q75" s="17"/>
      <c r="R75" s="17"/>
      <c r="S75" s="17"/>
      <c r="T75" s="17"/>
      <c r="U75" s="17"/>
      <c r="V75" s="17"/>
      <c r="W75" s="18"/>
      <c r="X75" s="18"/>
      <c r="Y75" s="17"/>
      <c r="Z75" s="17"/>
      <c r="AA75" s="17"/>
      <c r="AB75" s="17"/>
      <c r="AC75" s="17"/>
      <c r="AD75" s="17"/>
      <c r="AE75" s="17"/>
      <c r="AF75" s="17"/>
      <c r="AG75" s="17"/>
      <c r="AH75" s="17"/>
      <c r="AI75" s="17"/>
      <c r="AJ75" s="17"/>
      <c r="AK75" s="17"/>
      <c r="AL75" s="17"/>
      <c r="AM75" s="17"/>
      <c r="AN75" s="17"/>
      <c r="AO75" s="17"/>
      <c r="AP75" s="17"/>
      <c r="AQ75" s="17"/>
      <c r="AR75" s="17"/>
    </row>
    <row r="76" spans="1:44">
      <c r="A76" s="17"/>
      <c r="B76" s="17"/>
      <c r="C76" s="17"/>
      <c r="D76" s="17"/>
      <c r="E76" s="17"/>
      <c r="F76" s="17"/>
      <c r="G76" s="979" t="s">
        <v>108</v>
      </c>
      <c r="H76" s="979"/>
      <c r="I76" s="982" t="s">
        <v>109</v>
      </c>
      <c r="J76" s="983"/>
      <c r="K76" s="984" t="s">
        <v>110</v>
      </c>
      <c r="L76" s="985"/>
      <c r="M76" s="985"/>
      <c r="N76" s="986"/>
      <c r="O76" s="17"/>
      <c r="P76" s="17"/>
      <c r="Q76" s="17"/>
      <c r="R76" s="17"/>
      <c r="S76" s="17"/>
      <c r="T76" s="17"/>
      <c r="U76" s="17"/>
      <c r="V76" s="17"/>
      <c r="W76" s="18"/>
      <c r="X76" s="18"/>
      <c r="Y76" s="17"/>
      <c r="Z76" s="17"/>
      <c r="AA76" s="17"/>
      <c r="AB76" s="17"/>
      <c r="AC76" s="17"/>
      <c r="AD76" s="17"/>
      <c r="AE76" s="17"/>
      <c r="AF76" s="17"/>
      <c r="AG76" s="17"/>
      <c r="AH76" s="17"/>
      <c r="AI76" s="17"/>
      <c r="AJ76" s="17"/>
      <c r="AK76" s="17"/>
      <c r="AL76" s="17"/>
      <c r="AM76" s="17"/>
      <c r="AN76" s="17"/>
      <c r="AO76" s="17"/>
      <c r="AP76" s="17"/>
      <c r="AQ76" s="17"/>
      <c r="AR76" s="17"/>
    </row>
    <row r="77" spans="1:44" ht="31.5" customHeight="1">
      <c r="A77" s="17"/>
      <c r="B77" s="17"/>
      <c r="C77" s="17"/>
      <c r="D77" s="17"/>
      <c r="E77" s="17"/>
      <c r="F77" s="17"/>
      <c r="G77" s="979" t="s">
        <v>111</v>
      </c>
      <c r="H77" s="979"/>
      <c r="I77" s="1017" t="s">
        <v>112</v>
      </c>
      <c r="J77" s="1018"/>
      <c r="K77" s="979" t="s">
        <v>113</v>
      </c>
      <c r="L77" s="979"/>
      <c r="M77" s="979"/>
      <c r="N77" s="979"/>
      <c r="O77" s="17"/>
      <c r="P77" s="17"/>
      <c r="Q77" s="17"/>
      <c r="R77" s="17"/>
      <c r="S77" s="17"/>
      <c r="T77" s="17"/>
      <c r="U77" s="17"/>
      <c r="V77" s="24"/>
      <c r="W77" s="18"/>
      <c r="X77" s="18"/>
      <c r="Y77" s="17"/>
      <c r="Z77" s="17"/>
      <c r="AA77" s="17"/>
      <c r="AB77" s="17"/>
      <c r="AC77" s="17"/>
      <c r="AD77" s="17"/>
      <c r="AE77" s="17"/>
      <c r="AF77" s="17"/>
      <c r="AG77" s="17"/>
      <c r="AH77" s="17"/>
      <c r="AI77" s="17"/>
      <c r="AJ77" s="17"/>
      <c r="AK77" s="17"/>
      <c r="AL77" s="17"/>
      <c r="AM77" s="17"/>
      <c r="AN77" s="17"/>
      <c r="AO77" s="17"/>
      <c r="AP77" s="17"/>
      <c r="AQ77" s="17"/>
      <c r="AR77" s="17"/>
    </row>
    <row r="78" spans="1:44" ht="25.5" customHeight="1">
      <c r="G78" s="979" t="s">
        <v>114</v>
      </c>
      <c r="H78" s="979"/>
      <c r="I78" s="979" t="s">
        <v>115</v>
      </c>
      <c r="J78" s="979"/>
      <c r="K78" s="979" t="s">
        <v>116</v>
      </c>
      <c r="L78" s="979"/>
      <c r="M78" s="979"/>
      <c r="N78" s="979"/>
    </row>
    <row r="79" spans="1:44">
      <c r="G79" s="19"/>
      <c r="H79" s="17"/>
      <c r="I79" s="17"/>
      <c r="J79" s="17"/>
    </row>
  </sheetData>
  <mergeCells count="32">
    <mergeCell ref="G77:H77"/>
    <mergeCell ref="I77:J77"/>
    <mergeCell ref="K77:N77"/>
    <mergeCell ref="G78:H78"/>
    <mergeCell ref="I78:J78"/>
    <mergeCell ref="K78:N78"/>
    <mergeCell ref="K72:Q72"/>
    <mergeCell ref="K73:Q73"/>
    <mergeCell ref="G76:H76"/>
    <mergeCell ref="I76:J76"/>
    <mergeCell ref="K76:N76"/>
    <mergeCell ref="AP7:AP9"/>
    <mergeCell ref="AQ7:AQ9"/>
    <mergeCell ref="V8:X8"/>
    <mergeCell ref="Y8:Z8"/>
    <mergeCell ref="AA8:AD8"/>
    <mergeCell ref="AE8:AJ8"/>
    <mergeCell ref="AK8:AM8"/>
    <mergeCell ref="AN8:AN9"/>
    <mergeCell ref="Y7:AN7"/>
    <mergeCell ref="A1:B6"/>
    <mergeCell ref="C1:AO1"/>
    <mergeCell ref="C2:AO4"/>
    <mergeCell ref="C5:AO6"/>
    <mergeCell ref="A7:B8"/>
    <mergeCell ref="C7:D8"/>
    <mergeCell ref="E7:F8"/>
    <mergeCell ref="G7:H8"/>
    <mergeCell ref="I7:J8"/>
    <mergeCell ref="K7:M8"/>
    <mergeCell ref="AO7:AO9"/>
    <mergeCell ref="N7:Q8"/>
  </mergeCells>
  <pageMargins left="0.25" right="0.25" top="0.75" bottom="0.75" header="0.3" footer="0.3"/>
  <pageSetup scale="22" fitToHeight="6" orientation="portrait"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pageSetUpPr fitToPage="1"/>
  </sheetPr>
  <dimension ref="A1:BI111"/>
  <sheetViews>
    <sheetView zoomScale="70" zoomScaleNormal="70" zoomScaleSheetLayoutView="70" workbookViewId="0">
      <pane ySplit="9" topLeftCell="M44" activePane="bottomLeft" state="frozen"/>
      <selection pane="bottomLeft" activeCell="R109" sqref="R109"/>
    </sheetView>
  </sheetViews>
  <sheetFormatPr defaultColWidth="11.42578125" defaultRowHeight="15" customHeight="1"/>
  <cols>
    <col min="1" max="1" width="12.28515625" customWidth="1"/>
    <col min="2" max="2" width="25.7109375" customWidth="1"/>
    <col min="3" max="3" width="9.5703125" customWidth="1"/>
    <col min="4" max="4" width="11.5703125" customWidth="1"/>
    <col min="5" max="5" width="9.7109375" customWidth="1"/>
    <col min="6" max="6" width="19" customWidth="1"/>
    <col min="7" max="7" width="13.7109375" customWidth="1"/>
    <col min="8" max="8" width="19.140625" customWidth="1"/>
    <col min="9" max="9" width="13.7109375" customWidth="1"/>
    <col min="10" max="10" width="23.7109375" customWidth="1"/>
    <col min="11" max="13" width="15.7109375" customWidth="1"/>
    <col min="14" max="14" width="17.42578125" customWidth="1"/>
    <col min="15" max="15" width="40" customWidth="1"/>
    <col min="16" max="16" width="37.5703125" customWidth="1"/>
    <col min="17" max="17" width="19.7109375" style="905" customWidth="1"/>
    <col min="18" max="18" width="24.85546875" customWidth="1"/>
    <col min="19" max="19" width="23.42578125" customWidth="1"/>
    <col min="20" max="20" width="22" customWidth="1"/>
    <col min="21" max="21" width="22.42578125" customWidth="1"/>
    <col min="22" max="22" width="32.85546875" customWidth="1"/>
    <col min="23" max="23" width="12" customWidth="1"/>
    <col min="24" max="24" width="25" customWidth="1"/>
    <col min="25" max="25" width="14.42578125" bestFit="1" customWidth="1"/>
    <col min="26" max="26" width="11" customWidth="1"/>
    <col min="27" max="27" width="9.28515625" customWidth="1"/>
    <col min="28" max="28" width="7.42578125" customWidth="1"/>
    <col min="29" max="29" width="9.42578125" customWidth="1"/>
    <col min="30" max="30" width="8.5703125" customWidth="1"/>
    <col min="31" max="31" width="9.5703125" customWidth="1"/>
    <col min="32" max="32" width="8.85546875" customWidth="1"/>
    <col min="33" max="33" width="6.7109375" customWidth="1"/>
    <col min="34" max="34" width="6.42578125" customWidth="1"/>
    <col min="35" max="35" width="6.28515625" customWidth="1"/>
    <col min="36" max="36" width="6.5703125" customWidth="1"/>
    <col min="37" max="37" width="11.7109375" customWidth="1"/>
    <col min="38" max="38" width="10.85546875" customWidth="1"/>
    <col min="39" max="39" width="9.5703125" customWidth="1"/>
    <col min="40" max="40" width="11" customWidth="1"/>
    <col min="41" max="41" width="14.28515625" style="321" customWidth="1"/>
    <col min="42" max="42" width="14.42578125" style="321" customWidth="1"/>
    <col min="43" max="43" width="24" customWidth="1"/>
  </cols>
  <sheetData>
    <row r="1" spans="1:61">
      <c r="A1" s="1001"/>
      <c r="B1" s="1001"/>
      <c r="C1" s="1002" t="s">
        <v>0</v>
      </c>
      <c r="D1" s="1002"/>
      <c r="E1" s="1002"/>
      <c r="F1" s="1002"/>
      <c r="G1" s="1002"/>
      <c r="H1" s="1002"/>
      <c r="I1" s="1002"/>
      <c r="J1" s="1002"/>
      <c r="K1" s="1002"/>
      <c r="L1" s="1002"/>
      <c r="M1" s="1002"/>
      <c r="N1" s="1002"/>
      <c r="O1" s="1002"/>
      <c r="P1" s="1002"/>
      <c r="Q1" s="1002"/>
      <c r="R1" s="1002"/>
      <c r="S1" s="1002"/>
      <c r="T1" s="1002"/>
      <c r="U1" s="1002"/>
      <c r="V1" s="1002"/>
      <c r="W1" s="1002"/>
      <c r="X1" s="1002"/>
      <c r="Y1" s="1002"/>
      <c r="Z1" s="1002"/>
      <c r="AA1" s="1002"/>
      <c r="AB1" s="1002"/>
      <c r="AC1" s="1002"/>
      <c r="AD1" s="1002"/>
      <c r="AE1" s="1002"/>
      <c r="AF1" s="1002"/>
      <c r="AG1" s="1002"/>
      <c r="AH1" s="1002"/>
      <c r="AI1" s="1002"/>
      <c r="AJ1" s="1002"/>
      <c r="AK1" s="1002"/>
      <c r="AL1" s="1002"/>
      <c r="AM1" s="1002"/>
      <c r="AN1" s="1002"/>
      <c r="AO1" s="1002"/>
    </row>
    <row r="2" spans="1:61" s="2" customFormat="1" ht="14.45" customHeight="1">
      <c r="A2" s="1001"/>
      <c r="B2" s="1001"/>
      <c r="C2" s="1003" t="s">
        <v>1</v>
      </c>
      <c r="D2" s="1003"/>
      <c r="E2" s="1003"/>
      <c r="F2" s="1003"/>
      <c r="G2" s="1003"/>
      <c r="H2" s="1003"/>
      <c r="I2" s="1003"/>
      <c r="J2" s="1003"/>
      <c r="K2" s="1003"/>
      <c r="L2" s="1003"/>
      <c r="M2" s="1003"/>
      <c r="N2" s="1003"/>
      <c r="O2" s="1003"/>
      <c r="P2" s="1003"/>
      <c r="Q2" s="1003"/>
      <c r="R2" s="1003"/>
      <c r="S2" s="1003"/>
      <c r="T2" s="1003"/>
      <c r="U2" s="1003"/>
      <c r="V2" s="1003"/>
      <c r="W2" s="1003"/>
      <c r="X2" s="1003"/>
      <c r="Y2" s="1003"/>
      <c r="Z2" s="1003"/>
      <c r="AA2" s="1003"/>
      <c r="AB2" s="1003"/>
      <c r="AC2" s="1003"/>
      <c r="AD2" s="1003"/>
      <c r="AE2" s="1003"/>
      <c r="AF2" s="1003"/>
      <c r="AG2" s="1003"/>
      <c r="AH2" s="1003"/>
      <c r="AI2" s="1003"/>
      <c r="AJ2" s="1003"/>
      <c r="AK2" s="1003"/>
      <c r="AL2" s="1003"/>
      <c r="AM2" s="1003"/>
      <c r="AN2" s="1003"/>
      <c r="AO2" s="1003"/>
      <c r="AP2" s="322" t="s">
        <v>2</v>
      </c>
      <c r="AQ2" s="957" t="s">
        <v>3</v>
      </c>
      <c r="AR2" s="1"/>
      <c r="AS2" s="1"/>
      <c r="AT2" s="1"/>
      <c r="AU2" s="1"/>
      <c r="AV2" s="1"/>
      <c r="AW2" s="1"/>
      <c r="AX2" s="1"/>
      <c r="AY2" s="1"/>
      <c r="AZ2" s="1"/>
      <c r="BA2" s="1"/>
      <c r="BB2" s="1"/>
      <c r="BC2" s="1"/>
      <c r="BD2" s="1"/>
      <c r="BE2" s="1"/>
      <c r="BF2" s="1"/>
      <c r="BG2" s="1"/>
      <c r="BH2" s="1"/>
      <c r="BI2" s="1"/>
    </row>
    <row r="3" spans="1:61" s="2" customFormat="1" ht="11.25" customHeight="1">
      <c r="A3" s="1001"/>
      <c r="B3" s="1001"/>
      <c r="C3" s="1003"/>
      <c r="D3" s="1003"/>
      <c r="E3" s="1003"/>
      <c r="F3" s="1003"/>
      <c r="G3" s="1003"/>
      <c r="H3" s="1003"/>
      <c r="I3" s="1003"/>
      <c r="J3" s="1003"/>
      <c r="K3" s="1003"/>
      <c r="L3" s="1003"/>
      <c r="M3" s="1003"/>
      <c r="N3" s="1003"/>
      <c r="O3" s="1003"/>
      <c r="P3" s="1003"/>
      <c r="Q3" s="1003"/>
      <c r="R3" s="1003"/>
      <c r="S3" s="1003"/>
      <c r="T3" s="1003"/>
      <c r="U3" s="1003"/>
      <c r="V3" s="1003"/>
      <c r="W3" s="1003"/>
      <c r="X3" s="1003"/>
      <c r="Y3" s="1003"/>
      <c r="Z3" s="1003"/>
      <c r="AA3" s="1003"/>
      <c r="AB3" s="1003"/>
      <c r="AC3" s="1003"/>
      <c r="AD3" s="1003"/>
      <c r="AE3" s="1003"/>
      <c r="AF3" s="1003"/>
      <c r="AG3" s="1003"/>
      <c r="AH3" s="1003"/>
      <c r="AI3" s="1003"/>
      <c r="AJ3" s="1003"/>
      <c r="AK3" s="1003"/>
      <c r="AL3" s="1003"/>
      <c r="AM3" s="1003"/>
      <c r="AN3" s="1003"/>
      <c r="AO3" s="1003"/>
      <c r="AP3" s="323" t="s">
        <v>4</v>
      </c>
      <c r="AQ3" s="40">
        <v>14</v>
      </c>
      <c r="AR3" s="1"/>
      <c r="AS3" s="1"/>
      <c r="AT3" s="1"/>
      <c r="AU3" s="1"/>
      <c r="AV3" s="1"/>
      <c r="AW3" s="1"/>
      <c r="AX3" s="1"/>
      <c r="AY3" s="1"/>
      <c r="AZ3" s="1"/>
      <c r="BA3" s="1"/>
      <c r="BB3" s="1"/>
      <c r="BC3" s="1"/>
      <c r="BD3" s="1"/>
      <c r="BE3" s="1"/>
      <c r="BF3" s="1"/>
      <c r="BG3" s="1"/>
      <c r="BH3" s="1"/>
      <c r="BI3" s="1"/>
    </row>
    <row r="4" spans="1:61" s="2" customFormat="1" ht="18.75" customHeight="1">
      <c r="A4" s="1001"/>
      <c r="B4" s="1001"/>
      <c r="C4" s="1003"/>
      <c r="D4" s="1003"/>
      <c r="E4" s="1003"/>
      <c r="F4" s="1003"/>
      <c r="G4" s="1003"/>
      <c r="H4" s="1003"/>
      <c r="I4" s="1003"/>
      <c r="J4" s="1003"/>
      <c r="K4" s="1003"/>
      <c r="L4" s="1003"/>
      <c r="M4" s="1003"/>
      <c r="N4" s="1003"/>
      <c r="O4" s="1003"/>
      <c r="P4" s="1003"/>
      <c r="Q4" s="1003"/>
      <c r="R4" s="1003"/>
      <c r="S4" s="1003"/>
      <c r="T4" s="1003"/>
      <c r="U4" s="1003"/>
      <c r="V4" s="1003"/>
      <c r="W4" s="1003"/>
      <c r="X4" s="1003"/>
      <c r="Y4" s="1003"/>
      <c r="Z4" s="1003"/>
      <c r="AA4" s="1003"/>
      <c r="AB4" s="1003"/>
      <c r="AC4" s="1003"/>
      <c r="AD4" s="1003"/>
      <c r="AE4" s="1003"/>
      <c r="AF4" s="1003"/>
      <c r="AG4" s="1003"/>
      <c r="AH4" s="1003"/>
      <c r="AI4" s="1003"/>
      <c r="AJ4" s="1003"/>
      <c r="AK4" s="1003"/>
      <c r="AL4" s="1003"/>
      <c r="AM4" s="1003"/>
      <c r="AN4" s="1003"/>
      <c r="AO4" s="1003"/>
      <c r="AP4" s="323" t="s">
        <v>5</v>
      </c>
      <c r="AQ4" s="41">
        <v>45884</v>
      </c>
      <c r="AR4" s="1"/>
      <c r="AS4" s="1"/>
      <c r="AT4" s="1"/>
      <c r="AU4" s="1"/>
      <c r="AV4" s="1"/>
      <c r="AW4" s="1"/>
      <c r="AX4" s="1"/>
      <c r="AY4" s="1"/>
      <c r="AZ4" s="1"/>
      <c r="BA4" s="1"/>
      <c r="BB4" s="1"/>
      <c r="BC4" s="1"/>
      <c r="BD4" s="1"/>
      <c r="BE4" s="1"/>
      <c r="BF4" s="1"/>
      <c r="BG4" s="1"/>
      <c r="BH4" s="1"/>
      <c r="BI4" s="1"/>
    </row>
    <row r="5" spans="1:61" s="2" customFormat="1" ht="14.45" customHeight="1">
      <c r="A5" s="1001"/>
      <c r="B5" s="1001"/>
      <c r="C5" s="1004" t="s">
        <v>6</v>
      </c>
      <c r="D5" s="1004"/>
      <c r="E5" s="1004"/>
      <c r="F5" s="1004"/>
      <c r="G5" s="1004"/>
      <c r="H5" s="1004"/>
      <c r="I5" s="1004"/>
      <c r="J5" s="1004"/>
      <c r="K5" s="1004"/>
      <c r="L5" s="1004"/>
      <c r="M5" s="1004"/>
      <c r="N5" s="1004"/>
      <c r="O5" s="1004"/>
      <c r="P5" s="1004"/>
      <c r="Q5" s="1004"/>
      <c r="R5" s="1004"/>
      <c r="S5" s="1004"/>
      <c r="T5" s="1004"/>
      <c r="U5" s="1004"/>
      <c r="V5" s="1004"/>
      <c r="W5" s="1004"/>
      <c r="X5" s="1004"/>
      <c r="Y5" s="1004"/>
      <c r="Z5" s="1004"/>
      <c r="AA5" s="1004"/>
      <c r="AB5" s="1004"/>
      <c r="AC5" s="1004"/>
      <c r="AD5" s="1004"/>
      <c r="AE5" s="1004"/>
      <c r="AF5" s="1004"/>
      <c r="AG5" s="1004"/>
      <c r="AH5" s="1004"/>
      <c r="AI5" s="1004"/>
      <c r="AJ5" s="1004"/>
      <c r="AK5" s="1004"/>
      <c r="AL5" s="1004"/>
      <c r="AM5" s="1004"/>
      <c r="AN5" s="1004"/>
      <c r="AO5" s="1004"/>
      <c r="AP5" s="322" t="s">
        <v>7</v>
      </c>
      <c r="AQ5" s="3" t="s">
        <v>8</v>
      </c>
      <c r="AR5" s="1"/>
      <c r="AS5" s="1"/>
      <c r="AT5" s="1"/>
      <c r="AU5" s="1"/>
      <c r="AV5" s="1"/>
      <c r="AW5" s="1"/>
      <c r="AX5" s="1"/>
      <c r="AY5" s="1"/>
      <c r="AZ5" s="1"/>
      <c r="BA5" s="1"/>
      <c r="BB5" s="1"/>
      <c r="BC5" s="1"/>
      <c r="BD5" s="1"/>
      <c r="BE5" s="1"/>
      <c r="BF5" s="1"/>
      <c r="BG5" s="1"/>
      <c r="BH5" s="1"/>
      <c r="BI5" s="1"/>
    </row>
    <row r="6" spans="1:61" s="2" customFormat="1" ht="9.75" customHeight="1">
      <c r="A6" s="1001"/>
      <c r="B6" s="1001"/>
      <c r="C6" s="1004"/>
      <c r="D6" s="1004"/>
      <c r="E6" s="1004"/>
      <c r="F6" s="1004"/>
      <c r="G6" s="1004"/>
      <c r="H6" s="1004"/>
      <c r="I6" s="1004"/>
      <c r="J6" s="1004"/>
      <c r="K6" s="1005"/>
      <c r="L6" s="1005"/>
      <c r="M6" s="1005"/>
      <c r="N6" s="1004"/>
      <c r="O6" s="1004"/>
      <c r="P6" s="1004"/>
      <c r="Q6" s="1004"/>
      <c r="R6" s="1004"/>
      <c r="S6" s="1004"/>
      <c r="T6" s="1004"/>
      <c r="U6" s="1004"/>
      <c r="V6" s="1004"/>
      <c r="W6" s="1004"/>
      <c r="X6" s="1004"/>
      <c r="Y6" s="1004"/>
      <c r="Z6" s="1004"/>
      <c r="AA6" s="1004"/>
      <c r="AB6" s="1004"/>
      <c r="AC6" s="1004"/>
      <c r="AD6" s="1004"/>
      <c r="AE6" s="1004"/>
      <c r="AF6" s="1004"/>
      <c r="AG6" s="1004"/>
      <c r="AH6" s="1004"/>
      <c r="AI6" s="1004"/>
      <c r="AJ6" s="1004"/>
      <c r="AK6" s="1004"/>
      <c r="AL6" s="1004"/>
      <c r="AM6" s="1004"/>
      <c r="AN6" s="1004"/>
      <c r="AO6" s="1004"/>
      <c r="AP6" s="324"/>
      <c r="AQ6" s="5"/>
      <c r="AR6" s="1"/>
      <c r="AS6" s="1"/>
      <c r="AT6" s="1"/>
      <c r="AU6" s="1"/>
      <c r="AV6" s="1"/>
      <c r="AW6" s="1"/>
      <c r="AX6" s="1"/>
      <c r="AY6" s="1"/>
      <c r="AZ6" s="1"/>
      <c r="BA6" s="1"/>
      <c r="BB6" s="1"/>
      <c r="BC6" s="1"/>
      <c r="BD6" s="1"/>
      <c r="BE6" s="1"/>
      <c r="BF6" s="1"/>
      <c r="BG6" s="1"/>
      <c r="BH6" s="1"/>
      <c r="BI6" s="1"/>
    </row>
    <row r="7" spans="1:61" ht="21" customHeight="1">
      <c r="A7" s="1006" t="s">
        <v>9</v>
      </c>
      <c r="B7" s="1007"/>
      <c r="C7" s="1006" t="s">
        <v>10</v>
      </c>
      <c r="D7" s="1010"/>
      <c r="E7" s="1006" t="s">
        <v>11</v>
      </c>
      <c r="F7" s="1010"/>
      <c r="G7" s="1006" t="s">
        <v>12</v>
      </c>
      <c r="H7" s="1010"/>
      <c r="I7" s="1012" t="s">
        <v>13</v>
      </c>
      <c r="J7" s="1012"/>
      <c r="K7" s="1014" t="s">
        <v>14</v>
      </c>
      <c r="L7" s="1014"/>
      <c r="M7" s="1014"/>
      <c r="N7" s="1015" t="s">
        <v>15</v>
      </c>
      <c r="O7" s="1015"/>
      <c r="P7" s="1015"/>
      <c r="Q7" s="1015"/>
      <c r="R7" s="33"/>
      <c r="S7" s="958"/>
      <c r="T7" s="958"/>
      <c r="U7" s="958"/>
      <c r="V7" s="6"/>
      <c r="W7" s="6"/>
      <c r="X7" s="7"/>
      <c r="Y7" s="998" t="s">
        <v>16</v>
      </c>
      <c r="Z7" s="999"/>
      <c r="AA7" s="999"/>
      <c r="AB7" s="999"/>
      <c r="AC7" s="999"/>
      <c r="AD7" s="999"/>
      <c r="AE7" s="999"/>
      <c r="AF7" s="999"/>
      <c r="AG7" s="999"/>
      <c r="AH7" s="999"/>
      <c r="AI7" s="999"/>
      <c r="AJ7" s="999"/>
      <c r="AK7" s="999"/>
      <c r="AL7" s="999"/>
      <c r="AM7" s="999"/>
      <c r="AN7" s="1000"/>
      <c r="AO7" s="1132" t="s">
        <v>17</v>
      </c>
      <c r="AP7" s="1132" t="s">
        <v>18</v>
      </c>
      <c r="AQ7" s="987" t="s">
        <v>19</v>
      </c>
    </row>
    <row r="8" spans="1:61" s="9" customFormat="1" ht="12.75" customHeight="1">
      <c r="A8" s="1008"/>
      <c r="B8" s="1009"/>
      <c r="C8" s="1008"/>
      <c r="D8" s="1011"/>
      <c r="E8" s="1008"/>
      <c r="F8" s="1011"/>
      <c r="G8" s="1008"/>
      <c r="H8" s="1011"/>
      <c r="I8" s="1013"/>
      <c r="J8" s="1013"/>
      <c r="K8" s="1014"/>
      <c r="L8" s="1014"/>
      <c r="M8" s="1014"/>
      <c r="N8" s="1016"/>
      <c r="O8" s="1016"/>
      <c r="P8" s="1016"/>
      <c r="Q8" s="1016"/>
      <c r="R8" s="34"/>
      <c r="S8" s="959"/>
      <c r="T8" s="959"/>
      <c r="U8" s="959"/>
      <c r="V8" s="990" t="s">
        <v>20</v>
      </c>
      <c r="W8" s="991"/>
      <c r="X8" s="992"/>
      <c r="Y8" s="993" t="s">
        <v>21</v>
      </c>
      <c r="Z8" s="994"/>
      <c r="AA8" s="995" t="s">
        <v>22</v>
      </c>
      <c r="AB8" s="994"/>
      <c r="AC8" s="994"/>
      <c r="AD8" s="994"/>
      <c r="AE8" s="996" t="s">
        <v>23</v>
      </c>
      <c r="AF8" s="994"/>
      <c r="AG8" s="994"/>
      <c r="AH8" s="994"/>
      <c r="AI8" s="994"/>
      <c r="AJ8" s="994"/>
      <c r="AK8" s="995" t="s">
        <v>24</v>
      </c>
      <c r="AL8" s="994"/>
      <c r="AM8" s="994"/>
      <c r="AN8" s="997" t="s">
        <v>25</v>
      </c>
      <c r="AO8" s="1133"/>
      <c r="AP8" s="1133"/>
      <c r="AQ8" s="988"/>
      <c r="AR8" s="8"/>
      <c r="AS8" s="8"/>
      <c r="AT8" s="8"/>
      <c r="AU8" s="8"/>
      <c r="AV8" s="8"/>
      <c r="AW8" s="8"/>
      <c r="AX8" s="8"/>
      <c r="AY8" s="8"/>
      <c r="AZ8" s="8"/>
      <c r="BA8" s="8"/>
      <c r="BB8" s="8"/>
      <c r="BC8" s="8"/>
      <c r="BD8" s="8"/>
      <c r="BE8" s="8"/>
      <c r="BF8" s="8"/>
    </row>
    <row r="9" spans="1:61" s="16" customFormat="1" ht="55.5" customHeight="1">
      <c r="A9" s="10" t="s">
        <v>26</v>
      </c>
      <c r="B9" s="10" t="s">
        <v>27</v>
      </c>
      <c r="C9" s="10" t="s">
        <v>28</v>
      </c>
      <c r="D9" s="11" t="s">
        <v>29</v>
      </c>
      <c r="E9" s="11" t="s">
        <v>28</v>
      </c>
      <c r="F9" s="11" t="s">
        <v>29</v>
      </c>
      <c r="G9" s="12" t="s">
        <v>26</v>
      </c>
      <c r="H9" s="12" t="s">
        <v>29</v>
      </c>
      <c r="I9" s="12" t="s">
        <v>30</v>
      </c>
      <c r="J9" s="12" t="s">
        <v>31</v>
      </c>
      <c r="K9" s="39" t="s">
        <v>32</v>
      </c>
      <c r="L9" s="39" t="s">
        <v>33</v>
      </c>
      <c r="M9" s="39" t="s">
        <v>25</v>
      </c>
      <c r="N9" s="12" t="s">
        <v>34</v>
      </c>
      <c r="O9" s="12" t="s">
        <v>35</v>
      </c>
      <c r="P9" s="11" t="s">
        <v>36</v>
      </c>
      <c r="Q9" s="340" t="s">
        <v>37</v>
      </c>
      <c r="R9" s="35" t="s">
        <v>38</v>
      </c>
      <c r="S9" s="13" t="s">
        <v>39</v>
      </c>
      <c r="T9" s="13" t="s">
        <v>40</v>
      </c>
      <c r="U9" s="13" t="s">
        <v>41</v>
      </c>
      <c r="V9" s="10" t="s">
        <v>42</v>
      </c>
      <c r="W9" s="11" t="s">
        <v>26</v>
      </c>
      <c r="X9" s="11" t="s">
        <v>27</v>
      </c>
      <c r="Y9" s="14" t="s">
        <v>43</v>
      </c>
      <c r="Z9" s="15" t="s">
        <v>44</v>
      </c>
      <c r="AA9" s="14" t="s">
        <v>45</v>
      </c>
      <c r="AB9" s="14" t="s">
        <v>46</v>
      </c>
      <c r="AC9" s="14" t="s">
        <v>47</v>
      </c>
      <c r="AD9" s="14" t="s">
        <v>48</v>
      </c>
      <c r="AE9" s="14" t="s">
        <v>49</v>
      </c>
      <c r="AF9" s="14" t="s">
        <v>50</v>
      </c>
      <c r="AG9" s="14" t="s">
        <v>51</v>
      </c>
      <c r="AH9" s="14" t="s">
        <v>52</v>
      </c>
      <c r="AI9" s="14" t="s">
        <v>53</v>
      </c>
      <c r="AJ9" s="14" t="s">
        <v>54</v>
      </c>
      <c r="AK9" s="14" t="s">
        <v>55</v>
      </c>
      <c r="AL9" s="14" t="s">
        <v>56</v>
      </c>
      <c r="AM9" s="14" t="s">
        <v>57</v>
      </c>
      <c r="AN9" s="997"/>
      <c r="AO9" s="1134"/>
      <c r="AP9" s="1134"/>
      <c r="AQ9" s="989"/>
      <c r="AR9" s="8"/>
      <c r="AS9" s="8"/>
      <c r="AT9" s="8"/>
      <c r="AU9" s="8"/>
      <c r="AV9" s="8"/>
      <c r="AW9" s="8"/>
      <c r="AX9" s="8"/>
      <c r="AY9" s="8"/>
      <c r="AZ9" s="8"/>
      <c r="BA9" s="8"/>
      <c r="BB9" s="8"/>
      <c r="BC9" s="8"/>
      <c r="BD9" s="8"/>
      <c r="BE9" s="8"/>
      <c r="BF9" s="8"/>
    </row>
    <row r="10" spans="1:61" s="16" customFormat="1" ht="55.5" hidden="1" customHeight="1">
      <c r="A10" s="906">
        <v>3</v>
      </c>
      <c r="B10" s="907" t="s">
        <v>892</v>
      </c>
      <c r="C10" s="906">
        <v>24</v>
      </c>
      <c r="D10" s="908" t="s">
        <v>2450</v>
      </c>
      <c r="E10" s="906">
        <v>2402</v>
      </c>
      <c r="F10" s="908" t="s">
        <v>2304</v>
      </c>
      <c r="G10" s="909">
        <v>2402004</v>
      </c>
      <c r="H10" s="908" t="s">
        <v>2600</v>
      </c>
      <c r="I10" s="909">
        <v>240200400</v>
      </c>
      <c r="J10" s="908" t="s">
        <v>2600</v>
      </c>
      <c r="K10" s="910">
        <v>2</v>
      </c>
      <c r="L10" s="910"/>
      <c r="M10" s="128">
        <f>+K10+L10</f>
        <v>2</v>
      </c>
      <c r="N10" s="911">
        <v>2024000040016</v>
      </c>
      <c r="O10" s="907" t="s">
        <v>2601</v>
      </c>
      <c r="P10" s="912" t="s">
        <v>2602</v>
      </c>
      <c r="Q10" s="901">
        <v>7000000000</v>
      </c>
      <c r="R10" s="913"/>
      <c r="S10" s="914"/>
      <c r="T10" s="914"/>
      <c r="U10" s="328">
        <f>+Q10-R10+S10+T10</f>
        <v>7000000000</v>
      </c>
      <c r="V10" s="915" t="s">
        <v>2603</v>
      </c>
      <c r="W10" s="916">
        <v>46</v>
      </c>
      <c r="X10" s="916" t="s">
        <v>2604</v>
      </c>
      <c r="Y10" s="917">
        <v>27.635999999999999</v>
      </c>
      <c r="Z10" s="917">
        <v>25.51</v>
      </c>
      <c r="AA10" s="917">
        <v>9.5660000000000007</v>
      </c>
      <c r="AB10" s="917">
        <v>3.1890000000000001</v>
      </c>
      <c r="AC10" s="917">
        <v>29.762</v>
      </c>
      <c r="AD10" s="917">
        <v>11.161</v>
      </c>
      <c r="AE10" s="917">
        <v>531</v>
      </c>
      <c r="AF10" s="917">
        <v>531</v>
      </c>
      <c r="AG10" s="917"/>
      <c r="AH10" s="917"/>
      <c r="AI10" s="917"/>
      <c r="AJ10" s="917"/>
      <c r="AK10" s="917">
        <v>4.7830000000000004</v>
      </c>
      <c r="AL10" s="917">
        <v>2.657</v>
      </c>
      <c r="AM10" s="917">
        <v>5.3150000000000004</v>
      </c>
      <c r="AN10" s="917">
        <f>+Y10+Z10</f>
        <v>53.146000000000001</v>
      </c>
      <c r="AO10" s="918">
        <v>46023</v>
      </c>
      <c r="AP10" s="918">
        <v>46387</v>
      </c>
      <c r="AQ10" s="919" t="s">
        <v>2605</v>
      </c>
      <c r="AR10" s="107"/>
      <c r="AS10" s="107"/>
      <c r="AT10" s="107"/>
      <c r="AU10" s="107"/>
      <c r="AV10" s="107"/>
      <c r="AW10" s="107"/>
      <c r="AX10" s="107"/>
      <c r="AY10" s="107"/>
      <c r="AZ10" s="107"/>
      <c r="BA10" s="107"/>
      <c r="BB10" s="107"/>
      <c r="BC10" s="107"/>
      <c r="BD10" s="107"/>
      <c r="BE10" s="107"/>
      <c r="BF10" s="107"/>
    </row>
    <row r="11" spans="1:61" s="16" customFormat="1" ht="55.5" hidden="1" customHeight="1">
      <c r="A11" s="906">
        <v>3</v>
      </c>
      <c r="B11" s="907" t="s">
        <v>892</v>
      </c>
      <c r="C11" s="906">
        <v>24</v>
      </c>
      <c r="D11" s="908" t="s">
        <v>2450</v>
      </c>
      <c r="E11" s="906">
        <v>2402</v>
      </c>
      <c r="F11" s="908" t="s">
        <v>2304</v>
      </c>
      <c r="G11" s="909">
        <v>2402001</v>
      </c>
      <c r="H11" s="908" t="s">
        <v>2606</v>
      </c>
      <c r="I11" s="909">
        <v>240200100</v>
      </c>
      <c r="J11" s="908" t="s">
        <v>2607</v>
      </c>
      <c r="K11" s="910">
        <v>5</v>
      </c>
      <c r="L11" s="910"/>
      <c r="M11" s="128">
        <f>+K11+L11</f>
        <v>5</v>
      </c>
      <c r="N11" s="911">
        <v>2024000040016</v>
      </c>
      <c r="O11" s="907" t="s">
        <v>2601</v>
      </c>
      <c r="P11" s="912" t="s">
        <v>2608</v>
      </c>
      <c r="Q11" s="901">
        <v>11000000000</v>
      </c>
      <c r="R11" s="913"/>
      <c r="S11" s="914"/>
      <c r="T11" s="914"/>
      <c r="U11" s="328">
        <f>+Q11-R11+S11+T11</f>
        <v>11000000000</v>
      </c>
      <c r="V11" s="915" t="s">
        <v>2609</v>
      </c>
      <c r="W11" s="916">
        <v>46</v>
      </c>
      <c r="X11" s="916" t="s">
        <v>2604</v>
      </c>
      <c r="Y11" s="917">
        <v>27.635999999999999</v>
      </c>
      <c r="Z11" s="917">
        <v>25.51</v>
      </c>
      <c r="AA11" s="917">
        <v>9.5660000000000007</v>
      </c>
      <c r="AB11" s="917">
        <v>3.1890000000000001</v>
      </c>
      <c r="AC11" s="917">
        <v>29.762</v>
      </c>
      <c r="AD11" s="917">
        <v>11.161</v>
      </c>
      <c r="AE11" s="917">
        <v>531</v>
      </c>
      <c r="AF11" s="917">
        <v>531</v>
      </c>
      <c r="AG11" s="917"/>
      <c r="AH11" s="917"/>
      <c r="AI11" s="917"/>
      <c r="AJ11" s="917"/>
      <c r="AK11" s="917">
        <v>4.7830000000000004</v>
      </c>
      <c r="AL11" s="917">
        <v>2.657</v>
      </c>
      <c r="AM11" s="917">
        <v>5.3150000000000004</v>
      </c>
      <c r="AN11" s="917">
        <f>+Y11+Z11</f>
        <v>53.146000000000001</v>
      </c>
      <c r="AO11" s="918">
        <v>46023</v>
      </c>
      <c r="AP11" s="918">
        <v>46387</v>
      </c>
      <c r="AQ11" s="919" t="s">
        <v>2605</v>
      </c>
      <c r="AR11" s="107"/>
      <c r="AS11" s="107"/>
      <c r="AT11" s="107"/>
      <c r="AU11" s="107"/>
      <c r="AV11" s="107"/>
      <c r="AW11" s="107"/>
      <c r="AX11" s="107"/>
      <c r="AY11" s="107"/>
      <c r="AZ11" s="107"/>
      <c r="BA11" s="107"/>
      <c r="BB11" s="107"/>
      <c r="BC11" s="107"/>
      <c r="BD11" s="107"/>
      <c r="BE11" s="107"/>
      <c r="BF11" s="107"/>
    </row>
    <row r="12" spans="1:61" s="16" customFormat="1" ht="63.75" hidden="1">
      <c r="A12" s="906">
        <v>3</v>
      </c>
      <c r="B12" s="907" t="s">
        <v>892</v>
      </c>
      <c r="C12" s="906">
        <v>40</v>
      </c>
      <c r="D12" s="908" t="s">
        <v>2610</v>
      </c>
      <c r="E12" s="906">
        <v>4003</v>
      </c>
      <c r="F12" s="908" t="s">
        <v>2341</v>
      </c>
      <c r="G12" s="909">
        <v>4003018</v>
      </c>
      <c r="H12" s="908" t="s">
        <v>2611</v>
      </c>
      <c r="I12" s="909">
        <v>400301800</v>
      </c>
      <c r="J12" s="908" t="s">
        <v>2611</v>
      </c>
      <c r="K12" s="910">
        <v>1</v>
      </c>
      <c r="L12" s="910"/>
      <c r="M12" s="128">
        <f>+K12+L12</f>
        <v>1</v>
      </c>
      <c r="N12" s="911">
        <v>2024003630028</v>
      </c>
      <c r="O12" s="907" t="s">
        <v>2612</v>
      </c>
      <c r="P12" s="912" t="s">
        <v>2613</v>
      </c>
      <c r="Q12" s="901">
        <v>1700000000</v>
      </c>
      <c r="R12" s="913"/>
      <c r="S12" s="914"/>
      <c r="T12" s="914"/>
      <c r="U12" s="328">
        <f>+Q12-R12+S12+T12</f>
        <v>1700000000</v>
      </c>
      <c r="V12" s="915" t="s">
        <v>2614</v>
      </c>
      <c r="W12" s="916">
        <v>27</v>
      </c>
      <c r="X12" s="916" t="s">
        <v>2615</v>
      </c>
      <c r="Y12" s="917">
        <v>293304</v>
      </c>
      <c r="Z12" s="920">
        <v>272744</v>
      </c>
      <c r="AA12" s="917">
        <v>99059</v>
      </c>
      <c r="AB12" s="917">
        <v>36139</v>
      </c>
      <c r="AC12" s="917">
        <v>314186</v>
      </c>
      <c r="AD12" s="917">
        <v>116664</v>
      </c>
      <c r="AE12" s="917">
        <v>3247</v>
      </c>
      <c r="AF12" s="917">
        <v>6804</v>
      </c>
      <c r="AG12" s="917">
        <v>25</v>
      </c>
      <c r="AH12" s="917">
        <v>7</v>
      </c>
      <c r="AI12" s="917">
        <v>0</v>
      </c>
      <c r="AJ12" s="917">
        <v>0</v>
      </c>
      <c r="AK12" s="917">
        <v>50946</v>
      </c>
      <c r="AL12" s="917">
        <v>28554</v>
      </c>
      <c r="AM12" s="917">
        <v>53914</v>
      </c>
      <c r="AN12" s="917">
        <v>566048</v>
      </c>
      <c r="AO12" s="918">
        <v>46023</v>
      </c>
      <c r="AP12" s="918">
        <v>46387</v>
      </c>
      <c r="AQ12" s="919" t="s">
        <v>2605</v>
      </c>
      <c r="AR12" s="107"/>
      <c r="AS12" s="107"/>
      <c r="AT12" s="107"/>
      <c r="AU12" s="107"/>
      <c r="AV12" s="107"/>
      <c r="AW12" s="107"/>
      <c r="AX12" s="107"/>
      <c r="AY12" s="107"/>
      <c r="AZ12" s="107"/>
      <c r="BA12" s="107"/>
      <c r="BB12" s="107"/>
      <c r="BC12" s="107"/>
      <c r="BD12" s="107"/>
      <c r="BE12" s="107"/>
      <c r="BF12" s="107"/>
    </row>
    <row r="13" spans="1:61" s="16" customFormat="1" ht="63.75" hidden="1">
      <c r="A13" s="906">
        <v>3</v>
      </c>
      <c r="B13" s="907" t="s">
        <v>892</v>
      </c>
      <c r="C13" s="906">
        <v>40</v>
      </c>
      <c r="D13" s="908" t="s">
        <v>2610</v>
      </c>
      <c r="E13" s="906">
        <v>4003</v>
      </c>
      <c r="F13" s="908" t="s">
        <v>2341</v>
      </c>
      <c r="G13" s="909">
        <v>4003018</v>
      </c>
      <c r="H13" s="908" t="s">
        <v>2611</v>
      </c>
      <c r="I13" s="909">
        <v>400301800</v>
      </c>
      <c r="J13" s="908" t="s">
        <v>2611</v>
      </c>
      <c r="K13" s="910">
        <v>1</v>
      </c>
      <c r="L13" s="910"/>
      <c r="M13" s="128">
        <f t="shared" ref="M13:M18" si="0">+K13+L13</f>
        <v>1</v>
      </c>
      <c r="N13" s="911">
        <v>2024003630028</v>
      </c>
      <c r="O13" s="907" t="s">
        <v>2612</v>
      </c>
      <c r="P13" s="912" t="s">
        <v>2616</v>
      </c>
      <c r="Q13" s="901">
        <v>300000000</v>
      </c>
      <c r="R13" s="913"/>
      <c r="S13" s="914"/>
      <c r="T13" s="914"/>
      <c r="U13" s="328">
        <f t="shared" ref="U13:U83" si="1">+Q13-R13+S13+T13</f>
        <v>300000000</v>
      </c>
      <c r="V13" s="915" t="s">
        <v>2617</v>
      </c>
      <c r="W13" s="916">
        <v>4</v>
      </c>
      <c r="X13" s="916" t="s">
        <v>2285</v>
      </c>
      <c r="Y13" s="917">
        <v>293304</v>
      </c>
      <c r="Z13" s="920">
        <v>272744</v>
      </c>
      <c r="AA13" s="917">
        <v>99059</v>
      </c>
      <c r="AB13" s="917">
        <v>36139</v>
      </c>
      <c r="AC13" s="917">
        <v>314186</v>
      </c>
      <c r="AD13" s="917">
        <v>116664</v>
      </c>
      <c r="AE13" s="917">
        <v>3247</v>
      </c>
      <c r="AF13" s="917">
        <v>6804</v>
      </c>
      <c r="AG13" s="917">
        <v>25</v>
      </c>
      <c r="AH13" s="917">
        <v>7</v>
      </c>
      <c r="AI13" s="917">
        <v>0</v>
      </c>
      <c r="AJ13" s="917">
        <v>0</v>
      </c>
      <c r="AK13" s="917">
        <v>50946</v>
      </c>
      <c r="AL13" s="917">
        <v>28554</v>
      </c>
      <c r="AM13" s="917">
        <v>53914</v>
      </c>
      <c r="AN13" s="917">
        <v>566048</v>
      </c>
      <c r="AO13" s="918">
        <v>46023</v>
      </c>
      <c r="AP13" s="918">
        <v>46387</v>
      </c>
      <c r="AQ13" s="919" t="s">
        <v>2605</v>
      </c>
      <c r="AR13" s="107"/>
      <c r="AS13" s="107"/>
      <c r="AT13" s="107"/>
      <c r="AU13" s="107"/>
      <c r="AV13" s="107"/>
      <c r="AW13" s="107"/>
      <c r="AX13" s="107"/>
      <c r="AY13" s="107"/>
      <c r="AZ13" s="107"/>
      <c r="BA13" s="107"/>
      <c r="BB13" s="107"/>
      <c r="BC13" s="107"/>
      <c r="BD13" s="107"/>
      <c r="BE13" s="107"/>
      <c r="BF13" s="107"/>
    </row>
    <row r="14" spans="1:61" s="16" customFormat="1" ht="72.75" hidden="1" customHeight="1">
      <c r="A14" s="906">
        <v>3</v>
      </c>
      <c r="B14" s="907" t="s">
        <v>892</v>
      </c>
      <c r="C14" s="906">
        <v>40</v>
      </c>
      <c r="D14" s="908" t="s">
        <v>2610</v>
      </c>
      <c r="E14" s="906">
        <v>4003</v>
      </c>
      <c r="F14" s="908" t="s">
        <v>2341</v>
      </c>
      <c r="G14" s="909">
        <v>4003022</v>
      </c>
      <c r="H14" s="908" t="s">
        <v>2618</v>
      </c>
      <c r="I14" s="909">
        <v>400302200</v>
      </c>
      <c r="J14" s="908" t="s">
        <v>2619</v>
      </c>
      <c r="K14" s="910">
        <v>1</v>
      </c>
      <c r="L14" s="910"/>
      <c r="M14" s="128">
        <f t="shared" si="0"/>
        <v>1</v>
      </c>
      <c r="N14" s="911">
        <v>2024003630028</v>
      </c>
      <c r="O14" s="907" t="s">
        <v>2612</v>
      </c>
      <c r="P14" s="912" t="s">
        <v>2620</v>
      </c>
      <c r="Q14" s="901">
        <v>200000000</v>
      </c>
      <c r="R14" s="913"/>
      <c r="S14" s="914"/>
      <c r="T14" s="914"/>
      <c r="U14" s="328">
        <f t="shared" si="1"/>
        <v>200000000</v>
      </c>
      <c r="V14" s="915" t="s">
        <v>2621</v>
      </c>
      <c r="W14" s="916">
        <v>27</v>
      </c>
      <c r="X14" s="916" t="s">
        <v>2615</v>
      </c>
      <c r="Y14" s="917">
        <v>293304</v>
      </c>
      <c r="Z14" s="920">
        <v>272744</v>
      </c>
      <c r="AA14" s="917">
        <v>99059</v>
      </c>
      <c r="AB14" s="917">
        <v>36139</v>
      </c>
      <c r="AC14" s="917">
        <v>314186</v>
      </c>
      <c r="AD14" s="917">
        <v>116664</v>
      </c>
      <c r="AE14" s="917">
        <v>3247</v>
      </c>
      <c r="AF14" s="917">
        <v>6804</v>
      </c>
      <c r="AG14" s="917">
        <v>25</v>
      </c>
      <c r="AH14" s="917">
        <v>7</v>
      </c>
      <c r="AI14" s="917">
        <v>0</v>
      </c>
      <c r="AJ14" s="917">
        <v>0</v>
      </c>
      <c r="AK14" s="917">
        <v>50946</v>
      </c>
      <c r="AL14" s="917">
        <v>28554</v>
      </c>
      <c r="AM14" s="917">
        <v>53914</v>
      </c>
      <c r="AN14" s="917">
        <v>566048</v>
      </c>
      <c r="AO14" s="918">
        <v>46023</v>
      </c>
      <c r="AP14" s="918">
        <v>46387</v>
      </c>
      <c r="AQ14" s="919" t="s">
        <v>2605</v>
      </c>
      <c r="AR14" s="107"/>
      <c r="AS14" s="107"/>
      <c r="AT14" s="107"/>
      <c r="AU14" s="107"/>
      <c r="AV14" s="107"/>
      <c r="AW14" s="107"/>
      <c r="AX14" s="107"/>
      <c r="AY14" s="107"/>
      <c r="AZ14" s="107"/>
      <c r="BA14" s="107"/>
      <c r="BB14" s="107"/>
      <c r="BC14" s="107"/>
      <c r="BD14" s="107"/>
      <c r="BE14" s="107"/>
      <c r="BF14" s="107"/>
    </row>
    <row r="15" spans="1:61" s="16" customFormat="1" ht="78.75" hidden="1">
      <c r="A15" s="906">
        <v>3</v>
      </c>
      <c r="B15" s="907" t="s">
        <v>892</v>
      </c>
      <c r="C15" s="906">
        <v>40</v>
      </c>
      <c r="D15" s="908" t="s">
        <v>2610</v>
      </c>
      <c r="E15" s="906">
        <v>4003</v>
      </c>
      <c r="F15" s="908" t="s">
        <v>2341</v>
      </c>
      <c r="G15" s="909">
        <v>4003025</v>
      </c>
      <c r="H15" s="908" t="s">
        <v>2622</v>
      </c>
      <c r="I15" s="909">
        <v>400302500</v>
      </c>
      <c r="J15" s="908" t="s">
        <v>2343</v>
      </c>
      <c r="K15" s="910">
        <v>3</v>
      </c>
      <c r="L15" s="910"/>
      <c r="M15" s="128">
        <f t="shared" si="0"/>
        <v>3</v>
      </c>
      <c r="N15" s="911">
        <v>2024003630028</v>
      </c>
      <c r="O15" s="907" t="s">
        <v>2612</v>
      </c>
      <c r="P15" s="912" t="s">
        <v>2623</v>
      </c>
      <c r="Q15" s="901">
        <v>1032740904.959</v>
      </c>
      <c r="R15" s="913"/>
      <c r="S15" s="914"/>
      <c r="T15" s="914"/>
      <c r="U15" s="328">
        <f t="shared" si="1"/>
        <v>1032740904.959</v>
      </c>
      <c r="V15" s="915" t="s">
        <v>2624</v>
      </c>
      <c r="W15" s="916">
        <v>27</v>
      </c>
      <c r="X15" s="916" t="s">
        <v>2615</v>
      </c>
      <c r="Y15" s="917">
        <v>293304</v>
      </c>
      <c r="Z15" s="920">
        <v>272744</v>
      </c>
      <c r="AA15" s="917">
        <v>99059</v>
      </c>
      <c r="AB15" s="917">
        <v>36139</v>
      </c>
      <c r="AC15" s="917">
        <v>314186</v>
      </c>
      <c r="AD15" s="917">
        <v>116664</v>
      </c>
      <c r="AE15" s="917">
        <v>3247</v>
      </c>
      <c r="AF15" s="917">
        <v>6804</v>
      </c>
      <c r="AG15" s="917">
        <v>25</v>
      </c>
      <c r="AH15" s="917">
        <v>7</v>
      </c>
      <c r="AI15" s="917">
        <v>0</v>
      </c>
      <c r="AJ15" s="917">
        <v>0</v>
      </c>
      <c r="AK15" s="917">
        <v>50946</v>
      </c>
      <c r="AL15" s="917">
        <v>28554</v>
      </c>
      <c r="AM15" s="917">
        <v>53914</v>
      </c>
      <c r="AN15" s="917">
        <v>566048</v>
      </c>
      <c r="AO15" s="918">
        <v>46023</v>
      </c>
      <c r="AP15" s="918">
        <v>46387</v>
      </c>
      <c r="AQ15" s="919" t="s">
        <v>2605</v>
      </c>
      <c r="AR15" s="107"/>
      <c r="AS15" s="107"/>
      <c r="AT15" s="107"/>
      <c r="AU15" s="107"/>
      <c r="AV15" s="107"/>
      <c r="AW15" s="107"/>
      <c r="AX15" s="107"/>
      <c r="AY15" s="107"/>
      <c r="AZ15" s="107"/>
      <c r="BA15" s="107"/>
      <c r="BB15" s="107"/>
      <c r="BC15" s="107"/>
      <c r="BD15" s="107"/>
      <c r="BE15" s="107"/>
      <c r="BF15" s="107"/>
    </row>
    <row r="16" spans="1:61" s="16" customFormat="1" ht="78.75" hidden="1">
      <c r="A16" s="906">
        <v>3</v>
      </c>
      <c r="B16" s="907" t="s">
        <v>892</v>
      </c>
      <c r="C16" s="906">
        <v>40</v>
      </c>
      <c r="D16" s="908" t="s">
        <v>2610</v>
      </c>
      <c r="E16" s="906">
        <v>4003</v>
      </c>
      <c r="F16" s="908" t="s">
        <v>2341</v>
      </c>
      <c r="G16" s="909">
        <v>4003025</v>
      </c>
      <c r="H16" s="908" t="s">
        <v>2622</v>
      </c>
      <c r="I16" s="909">
        <v>400302500</v>
      </c>
      <c r="J16" s="908" t="s">
        <v>2343</v>
      </c>
      <c r="K16" s="910">
        <v>3</v>
      </c>
      <c r="L16" s="910"/>
      <c r="M16" s="128">
        <f t="shared" si="0"/>
        <v>3</v>
      </c>
      <c r="N16" s="911">
        <v>2024003630028</v>
      </c>
      <c r="O16" s="907" t="s">
        <v>2612</v>
      </c>
      <c r="P16" s="912" t="s">
        <v>2625</v>
      </c>
      <c r="Q16" s="901">
        <v>700000000</v>
      </c>
      <c r="R16" s="913"/>
      <c r="S16" s="914"/>
      <c r="T16" s="914"/>
      <c r="U16" s="328">
        <f t="shared" si="1"/>
        <v>700000000</v>
      </c>
      <c r="V16" s="915" t="s">
        <v>2626</v>
      </c>
      <c r="W16" s="916">
        <v>4</v>
      </c>
      <c r="X16" s="916" t="s">
        <v>2285</v>
      </c>
      <c r="Y16" s="917">
        <v>293304</v>
      </c>
      <c r="Z16" s="920">
        <v>272744</v>
      </c>
      <c r="AA16" s="917">
        <v>99059</v>
      </c>
      <c r="AB16" s="917">
        <v>36139</v>
      </c>
      <c r="AC16" s="917">
        <v>314186</v>
      </c>
      <c r="AD16" s="917">
        <v>116664</v>
      </c>
      <c r="AE16" s="917">
        <v>3247</v>
      </c>
      <c r="AF16" s="917">
        <v>6804</v>
      </c>
      <c r="AG16" s="917">
        <v>25</v>
      </c>
      <c r="AH16" s="917">
        <v>7</v>
      </c>
      <c r="AI16" s="917">
        <v>0</v>
      </c>
      <c r="AJ16" s="917">
        <v>0</v>
      </c>
      <c r="AK16" s="917">
        <v>50946</v>
      </c>
      <c r="AL16" s="917">
        <v>28554</v>
      </c>
      <c r="AM16" s="917">
        <v>53914</v>
      </c>
      <c r="AN16" s="917">
        <v>566048</v>
      </c>
      <c r="AO16" s="918">
        <v>46023</v>
      </c>
      <c r="AP16" s="918">
        <v>46387</v>
      </c>
      <c r="AQ16" s="919" t="s">
        <v>2605</v>
      </c>
      <c r="AR16" s="107"/>
      <c r="AS16" s="107"/>
      <c r="AT16" s="107"/>
      <c r="AU16" s="107"/>
      <c r="AV16" s="107"/>
      <c r="AW16" s="107"/>
      <c r="AX16" s="107"/>
      <c r="AY16" s="107"/>
      <c r="AZ16" s="107"/>
      <c r="BA16" s="107"/>
      <c r="BB16" s="107"/>
      <c r="BC16" s="107"/>
      <c r="BD16" s="107"/>
      <c r="BE16" s="107"/>
      <c r="BF16" s="107"/>
    </row>
    <row r="17" spans="1:58" s="16" customFormat="1" ht="55.5" hidden="1" customHeight="1">
      <c r="A17" s="906">
        <v>3</v>
      </c>
      <c r="B17" s="907" t="s">
        <v>892</v>
      </c>
      <c r="C17" s="906">
        <v>40</v>
      </c>
      <c r="D17" s="908" t="s">
        <v>2610</v>
      </c>
      <c r="E17" s="906">
        <v>4003</v>
      </c>
      <c r="F17" s="908" t="s">
        <v>2341</v>
      </c>
      <c r="G17" s="909">
        <v>4003026</v>
      </c>
      <c r="H17" s="908" t="s">
        <v>2627</v>
      </c>
      <c r="I17" s="909">
        <v>400302600</v>
      </c>
      <c r="J17" s="908" t="s">
        <v>2628</v>
      </c>
      <c r="K17" s="910">
        <v>1</v>
      </c>
      <c r="L17" s="910"/>
      <c r="M17" s="128">
        <f t="shared" si="0"/>
        <v>1</v>
      </c>
      <c r="N17" s="911">
        <v>2024003630028</v>
      </c>
      <c r="O17" s="907" t="s">
        <v>2612</v>
      </c>
      <c r="P17" s="912" t="s">
        <v>2629</v>
      </c>
      <c r="Q17" s="901">
        <v>1600000000</v>
      </c>
      <c r="R17" s="913"/>
      <c r="S17" s="914"/>
      <c r="T17" s="914"/>
      <c r="U17" s="328">
        <f t="shared" si="1"/>
        <v>1600000000</v>
      </c>
      <c r="V17" s="915" t="s">
        <v>2630</v>
      </c>
      <c r="W17" s="916">
        <v>27</v>
      </c>
      <c r="X17" s="916" t="s">
        <v>2615</v>
      </c>
      <c r="Y17" s="917">
        <v>293304</v>
      </c>
      <c r="Z17" s="920">
        <v>272744</v>
      </c>
      <c r="AA17" s="917">
        <v>99059</v>
      </c>
      <c r="AB17" s="917">
        <v>36139</v>
      </c>
      <c r="AC17" s="917">
        <v>314186</v>
      </c>
      <c r="AD17" s="917">
        <v>116664</v>
      </c>
      <c r="AE17" s="917">
        <v>3247</v>
      </c>
      <c r="AF17" s="917">
        <v>6804</v>
      </c>
      <c r="AG17" s="917">
        <v>25</v>
      </c>
      <c r="AH17" s="917">
        <v>7</v>
      </c>
      <c r="AI17" s="917">
        <v>0</v>
      </c>
      <c r="AJ17" s="917">
        <v>0</v>
      </c>
      <c r="AK17" s="917">
        <v>50946</v>
      </c>
      <c r="AL17" s="917">
        <v>28554</v>
      </c>
      <c r="AM17" s="917">
        <v>53914</v>
      </c>
      <c r="AN17" s="917">
        <v>566048</v>
      </c>
      <c r="AO17" s="918">
        <v>46023</v>
      </c>
      <c r="AP17" s="918">
        <v>46387</v>
      </c>
      <c r="AQ17" s="919" t="s">
        <v>2605</v>
      </c>
      <c r="AR17" s="107"/>
      <c r="AS17" s="107"/>
      <c r="AT17" s="107"/>
      <c r="AU17" s="107"/>
      <c r="AV17" s="107"/>
      <c r="AW17" s="107"/>
      <c r="AX17" s="107"/>
      <c r="AY17" s="107"/>
      <c r="AZ17" s="107"/>
      <c r="BA17" s="107"/>
      <c r="BB17" s="107"/>
      <c r="BC17" s="107"/>
      <c r="BD17" s="107"/>
      <c r="BE17" s="107"/>
      <c r="BF17" s="107"/>
    </row>
    <row r="18" spans="1:58" s="16" customFormat="1" ht="55.5" hidden="1" customHeight="1">
      <c r="A18" s="906">
        <v>3</v>
      </c>
      <c r="B18" s="907" t="s">
        <v>892</v>
      </c>
      <c r="C18" s="906">
        <v>40</v>
      </c>
      <c r="D18" s="908" t="s">
        <v>2610</v>
      </c>
      <c r="E18" s="906">
        <v>4003</v>
      </c>
      <c r="F18" s="908" t="s">
        <v>2341</v>
      </c>
      <c r="G18" s="909">
        <v>4003042</v>
      </c>
      <c r="H18" s="908" t="s">
        <v>2326</v>
      </c>
      <c r="I18" s="909">
        <v>400304200</v>
      </c>
      <c r="J18" s="908" t="s">
        <v>2631</v>
      </c>
      <c r="K18" s="910">
        <v>2</v>
      </c>
      <c r="L18" s="910"/>
      <c r="M18" s="128">
        <f t="shared" si="0"/>
        <v>2</v>
      </c>
      <c r="N18" s="911">
        <v>2024003630028</v>
      </c>
      <c r="O18" s="907" t="s">
        <v>2612</v>
      </c>
      <c r="P18" s="912" t="s">
        <v>2632</v>
      </c>
      <c r="Q18" s="901">
        <v>400000000</v>
      </c>
      <c r="R18" s="913"/>
      <c r="S18" s="914"/>
      <c r="T18" s="914"/>
      <c r="U18" s="328">
        <f t="shared" si="1"/>
        <v>400000000</v>
      </c>
      <c r="V18" s="921" t="s">
        <v>2633</v>
      </c>
      <c r="W18" s="916">
        <v>27</v>
      </c>
      <c r="X18" s="916" t="s">
        <v>2615</v>
      </c>
      <c r="Y18" s="917">
        <v>293304</v>
      </c>
      <c r="Z18" s="920">
        <v>272744</v>
      </c>
      <c r="AA18" s="917">
        <v>99059</v>
      </c>
      <c r="AB18" s="917">
        <v>36139</v>
      </c>
      <c r="AC18" s="917">
        <v>314186</v>
      </c>
      <c r="AD18" s="917">
        <v>116664</v>
      </c>
      <c r="AE18" s="917">
        <v>3247</v>
      </c>
      <c r="AF18" s="917">
        <v>6804</v>
      </c>
      <c r="AG18" s="917">
        <v>25</v>
      </c>
      <c r="AH18" s="917">
        <v>7</v>
      </c>
      <c r="AI18" s="917">
        <v>0</v>
      </c>
      <c r="AJ18" s="917">
        <v>0</v>
      </c>
      <c r="AK18" s="917">
        <v>50946</v>
      </c>
      <c r="AL18" s="917">
        <v>28554</v>
      </c>
      <c r="AM18" s="917">
        <v>53914</v>
      </c>
      <c r="AN18" s="917">
        <v>566048</v>
      </c>
      <c r="AO18" s="918">
        <v>46023</v>
      </c>
      <c r="AP18" s="918">
        <v>46387</v>
      </c>
      <c r="AQ18" s="919" t="s">
        <v>2605</v>
      </c>
      <c r="AR18" s="107"/>
      <c r="AS18" s="107"/>
      <c r="AT18" s="107"/>
      <c r="AU18" s="107"/>
      <c r="AV18" s="107"/>
      <c r="AW18" s="107"/>
      <c r="AX18" s="107"/>
      <c r="AY18" s="107"/>
      <c r="AZ18" s="107"/>
      <c r="BA18" s="107"/>
      <c r="BB18" s="107"/>
      <c r="BC18" s="107"/>
      <c r="BD18" s="107"/>
      <c r="BE18" s="107"/>
      <c r="BF18" s="107"/>
    </row>
    <row r="19" spans="1:58" s="16" customFormat="1" ht="55.5" hidden="1" customHeight="1">
      <c r="A19" s="906">
        <v>1</v>
      </c>
      <c r="B19" s="907" t="s">
        <v>513</v>
      </c>
      <c r="C19" s="906">
        <v>43</v>
      </c>
      <c r="D19" s="908" t="s">
        <v>2634</v>
      </c>
      <c r="E19" s="906">
        <v>4301</v>
      </c>
      <c r="F19" s="908" t="s">
        <v>2279</v>
      </c>
      <c r="G19" s="909">
        <v>4301004</v>
      </c>
      <c r="H19" s="908" t="s">
        <v>2280</v>
      </c>
      <c r="I19" s="909">
        <v>430100400</v>
      </c>
      <c r="J19" s="908" t="s">
        <v>2281</v>
      </c>
      <c r="K19" s="910">
        <v>16</v>
      </c>
      <c r="L19" s="910">
        <v>3</v>
      </c>
      <c r="M19" s="128">
        <v>19</v>
      </c>
      <c r="N19" s="911">
        <v>2024003630032</v>
      </c>
      <c r="O19" s="907" t="s">
        <v>2635</v>
      </c>
      <c r="P19" s="912" t="s">
        <v>2636</v>
      </c>
      <c r="Q19" s="901">
        <v>800000000</v>
      </c>
      <c r="R19" s="913"/>
      <c r="S19" s="914"/>
      <c r="T19" s="914"/>
      <c r="U19" s="328">
        <f t="shared" si="1"/>
        <v>800000000</v>
      </c>
      <c r="V19" s="915" t="s">
        <v>2637</v>
      </c>
      <c r="W19" s="916">
        <v>4</v>
      </c>
      <c r="X19" s="916" t="s">
        <v>2285</v>
      </c>
      <c r="Y19" s="917">
        <v>293304</v>
      </c>
      <c r="Z19" s="920">
        <v>272744</v>
      </c>
      <c r="AA19" s="917">
        <v>99059</v>
      </c>
      <c r="AB19" s="917">
        <v>36139</v>
      </c>
      <c r="AC19" s="917">
        <v>314186</v>
      </c>
      <c r="AD19" s="917">
        <v>116664</v>
      </c>
      <c r="AE19" s="917">
        <v>3247</v>
      </c>
      <c r="AF19" s="917">
        <v>6804</v>
      </c>
      <c r="AG19" s="917">
        <v>25</v>
      </c>
      <c r="AH19" s="917">
        <v>7</v>
      </c>
      <c r="AI19" s="917">
        <v>0</v>
      </c>
      <c r="AJ19" s="917">
        <v>0</v>
      </c>
      <c r="AK19" s="917">
        <v>50946</v>
      </c>
      <c r="AL19" s="917">
        <v>28554</v>
      </c>
      <c r="AM19" s="917">
        <v>53914</v>
      </c>
      <c r="AN19" s="917">
        <v>566048</v>
      </c>
      <c r="AO19" s="918">
        <v>46023</v>
      </c>
      <c r="AP19" s="918">
        <v>46387</v>
      </c>
      <c r="AQ19" s="919" t="s">
        <v>2605</v>
      </c>
      <c r="AR19" s="107"/>
      <c r="AS19" s="107"/>
      <c r="AT19" s="107"/>
      <c r="AU19" s="107"/>
      <c r="AV19" s="107"/>
      <c r="AW19" s="107"/>
      <c r="AX19" s="107"/>
      <c r="AY19" s="107"/>
      <c r="AZ19" s="107"/>
      <c r="BA19" s="107"/>
      <c r="BB19" s="107"/>
      <c r="BC19" s="107"/>
      <c r="BD19" s="107"/>
      <c r="BE19" s="107"/>
      <c r="BF19" s="107"/>
    </row>
    <row r="20" spans="1:58" s="16" customFormat="1" ht="55.5" hidden="1" customHeight="1">
      <c r="A20" s="906">
        <v>1</v>
      </c>
      <c r="B20" s="907" t="s">
        <v>513</v>
      </c>
      <c r="C20" s="906">
        <v>43</v>
      </c>
      <c r="D20" s="908" t="s">
        <v>2634</v>
      </c>
      <c r="E20" s="906">
        <v>4301</v>
      </c>
      <c r="F20" s="908" t="s">
        <v>2279</v>
      </c>
      <c r="G20" s="909">
        <v>4301004</v>
      </c>
      <c r="H20" s="908" t="s">
        <v>2280</v>
      </c>
      <c r="I20" s="909">
        <v>430100400</v>
      </c>
      <c r="J20" s="908" t="s">
        <v>2281</v>
      </c>
      <c r="K20" s="910">
        <v>16</v>
      </c>
      <c r="L20" s="910">
        <v>3</v>
      </c>
      <c r="M20" s="128">
        <v>19</v>
      </c>
      <c r="N20" s="911">
        <v>2024003630032</v>
      </c>
      <c r="O20" s="907" t="s">
        <v>2635</v>
      </c>
      <c r="P20" s="912" t="s">
        <v>2638</v>
      </c>
      <c r="Q20" s="947">
        <f>88000000-88000000</f>
        <v>0</v>
      </c>
      <c r="R20" s="913"/>
      <c r="S20" s="914"/>
      <c r="T20" s="914"/>
      <c r="U20" s="328">
        <f t="shared" si="1"/>
        <v>0</v>
      </c>
      <c r="V20" s="915" t="s">
        <v>2639</v>
      </c>
      <c r="W20" s="916">
        <v>4</v>
      </c>
      <c r="X20" s="916" t="s">
        <v>2285</v>
      </c>
      <c r="Y20" s="917">
        <v>293304</v>
      </c>
      <c r="Z20" s="920">
        <v>272744</v>
      </c>
      <c r="AA20" s="917">
        <v>99059</v>
      </c>
      <c r="AB20" s="917">
        <v>36139</v>
      </c>
      <c r="AC20" s="917">
        <v>314186</v>
      </c>
      <c r="AD20" s="917">
        <v>116664</v>
      </c>
      <c r="AE20" s="917">
        <v>3247</v>
      </c>
      <c r="AF20" s="917">
        <v>6804</v>
      </c>
      <c r="AG20" s="917">
        <v>25</v>
      </c>
      <c r="AH20" s="917">
        <v>7</v>
      </c>
      <c r="AI20" s="917">
        <v>0</v>
      </c>
      <c r="AJ20" s="917">
        <v>0</v>
      </c>
      <c r="AK20" s="917">
        <v>50946</v>
      </c>
      <c r="AL20" s="917">
        <v>28554</v>
      </c>
      <c r="AM20" s="917">
        <v>53914</v>
      </c>
      <c r="AN20" s="917">
        <v>566048</v>
      </c>
      <c r="AO20" s="918">
        <v>46023</v>
      </c>
      <c r="AP20" s="918">
        <v>46387</v>
      </c>
      <c r="AQ20" s="919" t="s">
        <v>2605</v>
      </c>
      <c r="AR20" s="107"/>
      <c r="AS20" s="107"/>
      <c r="AT20" s="107"/>
      <c r="AU20" s="107"/>
      <c r="AV20" s="107"/>
      <c r="AW20" s="107"/>
      <c r="AX20" s="107"/>
      <c r="AY20" s="107"/>
      <c r="AZ20" s="107"/>
      <c r="BA20" s="107"/>
      <c r="BB20" s="107"/>
      <c r="BC20" s="107"/>
      <c r="BD20" s="107"/>
      <c r="BE20" s="107"/>
      <c r="BF20" s="107"/>
    </row>
    <row r="21" spans="1:58" s="16" customFormat="1" ht="55.5" hidden="1" customHeight="1">
      <c r="A21" s="906">
        <v>1</v>
      </c>
      <c r="B21" s="907" t="s">
        <v>513</v>
      </c>
      <c r="C21" s="906">
        <v>43</v>
      </c>
      <c r="D21" s="908" t="s">
        <v>2634</v>
      </c>
      <c r="E21" s="906">
        <v>4301</v>
      </c>
      <c r="F21" s="908" t="s">
        <v>2279</v>
      </c>
      <c r="G21" s="909">
        <v>4301004</v>
      </c>
      <c r="H21" s="908" t="s">
        <v>2280</v>
      </c>
      <c r="I21" s="909">
        <v>430100400</v>
      </c>
      <c r="J21" s="908" t="s">
        <v>2281</v>
      </c>
      <c r="K21" s="910">
        <v>16</v>
      </c>
      <c r="L21" s="910">
        <v>3</v>
      </c>
      <c r="M21" s="128">
        <v>19</v>
      </c>
      <c r="N21" s="911">
        <v>2024003630032</v>
      </c>
      <c r="O21" s="907" t="s">
        <v>2635</v>
      </c>
      <c r="P21" s="912" t="s">
        <v>2640</v>
      </c>
      <c r="Q21" s="901">
        <v>100000000</v>
      </c>
      <c r="R21" s="913"/>
      <c r="S21" s="914"/>
      <c r="T21" s="914"/>
      <c r="U21" s="328">
        <f t="shared" si="1"/>
        <v>100000000</v>
      </c>
      <c r="V21" s="915" t="s">
        <v>2641</v>
      </c>
      <c r="W21" s="916">
        <v>4</v>
      </c>
      <c r="X21" s="916" t="s">
        <v>2285</v>
      </c>
      <c r="Y21" s="917">
        <v>293304</v>
      </c>
      <c r="Z21" s="920">
        <v>272744</v>
      </c>
      <c r="AA21" s="917">
        <v>99059</v>
      </c>
      <c r="AB21" s="917">
        <v>36139</v>
      </c>
      <c r="AC21" s="917">
        <v>314186</v>
      </c>
      <c r="AD21" s="917">
        <v>116664</v>
      </c>
      <c r="AE21" s="917">
        <v>3247</v>
      </c>
      <c r="AF21" s="917">
        <v>6804</v>
      </c>
      <c r="AG21" s="917">
        <v>25</v>
      </c>
      <c r="AH21" s="917">
        <v>7</v>
      </c>
      <c r="AI21" s="917">
        <v>0</v>
      </c>
      <c r="AJ21" s="917">
        <v>0</v>
      </c>
      <c r="AK21" s="917">
        <v>50946</v>
      </c>
      <c r="AL21" s="917">
        <v>28554</v>
      </c>
      <c r="AM21" s="917">
        <v>53914</v>
      </c>
      <c r="AN21" s="917">
        <v>566048</v>
      </c>
      <c r="AO21" s="918">
        <v>46023</v>
      </c>
      <c r="AP21" s="918">
        <v>46387</v>
      </c>
      <c r="AQ21" s="919" t="s">
        <v>2605</v>
      </c>
      <c r="AR21" s="107"/>
      <c r="AS21" s="107"/>
      <c r="AT21" s="107"/>
      <c r="AU21" s="107"/>
      <c r="AV21" s="107"/>
      <c r="AW21" s="107"/>
      <c r="AX21" s="107"/>
      <c r="AY21" s="107"/>
      <c r="AZ21" s="107"/>
      <c r="BA21" s="107"/>
      <c r="BB21" s="107"/>
      <c r="BC21" s="107"/>
      <c r="BD21" s="107"/>
      <c r="BE21" s="107"/>
      <c r="BF21" s="107"/>
    </row>
    <row r="22" spans="1:58" s="16" customFormat="1" ht="55.5" hidden="1" customHeight="1">
      <c r="A22" s="906">
        <v>1</v>
      </c>
      <c r="B22" s="907" t="s">
        <v>513</v>
      </c>
      <c r="C22" s="906">
        <v>43</v>
      </c>
      <c r="D22" s="908" t="s">
        <v>2634</v>
      </c>
      <c r="E22" s="906">
        <v>4301</v>
      </c>
      <c r="F22" s="908" t="s">
        <v>2279</v>
      </c>
      <c r="G22" s="909">
        <v>4301004</v>
      </c>
      <c r="H22" s="908" t="s">
        <v>2280</v>
      </c>
      <c r="I22" s="909">
        <v>430100400</v>
      </c>
      <c r="J22" s="908" t="s">
        <v>2281</v>
      </c>
      <c r="K22" s="910">
        <v>16</v>
      </c>
      <c r="L22" s="910">
        <v>3</v>
      </c>
      <c r="M22" s="128">
        <v>19</v>
      </c>
      <c r="N22" s="911">
        <v>2024003630032</v>
      </c>
      <c r="O22" s="907" t="s">
        <v>2635</v>
      </c>
      <c r="P22" s="912" t="s">
        <v>2642</v>
      </c>
      <c r="Q22" s="901">
        <v>50000000</v>
      </c>
      <c r="R22" s="913"/>
      <c r="S22" s="914"/>
      <c r="T22" s="914"/>
      <c r="U22" s="328">
        <f t="shared" si="1"/>
        <v>50000000</v>
      </c>
      <c r="V22" s="915" t="s">
        <v>2643</v>
      </c>
      <c r="W22" s="916">
        <v>20</v>
      </c>
      <c r="X22" s="916" t="s">
        <v>67</v>
      </c>
      <c r="Y22" s="917">
        <v>293304</v>
      </c>
      <c r="Z22" s="920">
        <v>272744</v>
      </c>
      <c r="AA22" s="917">
        <v>99059</v>
      </c>
      <c r="AB22" s="917">
        <v>36139</v>
      </c>
      <c r="AC22" s="917">
        <v>314186</v>
      </c>
      <c r="AD22" s="917">
        <v>116664</v>
      </c>
      <c r="AE22" s="917">
        <v>3247</v>
      </c>
      <c r="AF22" s="917">
        <v>6804</v>
      </c>
      <c r="AG22" s="917">
        <v>25</v>
      </c>
      <c r="AH22" s="917">
        <v>7</v>
      </c>
      <c r="AI22" s="917">
        <v>0</v>
      </c>
      <c r="AJ22" s="917">
        <v>0</v>
      </c>
      <c r="AK22" s="917">
        <v>50946</v>
      </c>
      <c r="AL22" s="917">
        <v>28554</v>
      </c>
      <c r="AM22" s="917">
        <v>53914</v>
      </c>
      <c r="AN22" s="917">
        <v>566048</v>
      </c>
      <c r="AO22" s="918">
        <v>46023</v>
      </c>
      <c r="AP22" s="918">
        <v>46387</v>
      </c>
      <c r="AQ22" s="919" t="s">
        <v>2605</v>
      </c>
      <c r="AR22" s="107"/>
      <c r="AS22" s="107"/>
      <c r="AT22" s="107"/>
      <c r="AU22" s="107"/>
      <c r="AV22" s="107"/>
      <c r="AW22" s="107"/>
      <c r="AX22" s="107"/>
      <c r="AY22" s="107"/>
      <c r="AZ22" s="107"/>
      <c r="BA22" s="107"/>
      <c r="BB22" s="107"/>
      <c r="BC22" s="107"/>
      <c r="BD22" s="107"/>
      <c r="BE22" s="107"/>
      <c r="BF22" s="107"/>
    </row>
    <row r="23" spans="1:58" s="16" customFormat="1" ht="70.5" hidden="1" customHeight="1">
      <c r="A23" s="906">
        <v>1</v>
      </c>
      <c r="B23" s="907" t="s">
        <v>513</v>
      </c>
      <c r="C23" s="906">
        <v>43</v>
      </c>
      <c r="D23" s="908" t="s">
        <v>2634</v>
      </c>
      <c r="E23" s="906">
        <v>4301</v>
      </c>
      <c r="F23" s="908" t="s">
        <v>2279</v>
      </c>
      <c r="G23" s="909">
        <v>4301004</v>
      </c>
      <c r="H23" s="908" t="s">
        <v>2280</v>
      </c>
      <c r="I23" s="909">
        <v>430100400</v>
      </c>
      <c r="J23" s="908" t="s">
        <v>2281</v>
      </c>
      <c r="K23" s="910">
        <v>16</v>
      </c>
      <c r="L23" s="910">
        <v>3</v>
      </c>
      <c r="M23" s="128">
        <v>19</v>
      </c>
      <c r="N23" s="911">
        <v>2024003630032</v>
      </c>
      <c r="O23" s="907" t="s">
        <v>2635</v>
      </c>
      <c r="P23" s="912" t="s">
        <v>2644</v>
      </c>
      <c r="Q23" s="901">
        <v>10000000</v>
      </c>
      <c r="R23" s="913">
        <f>10000000</f>
        <v>10000000</v>
      </c>
      <c r="S23" s="914"/>
      <c r="T23" s="914"/>
      <c r="U23" s="328">
        <f>Q23-R23+S23+-T23</f>
        <v>0</v>
      </c>
      <c r="V23" s="915" t="s">
        <v>2639</v>
      </c>
      <c r="W23" s="916">
        <v>4</v>
      </c>
      <c r="X23" s="916" t="s">
        <v>2285</v>
      </c>
      <c r="Y23" s="917">
        <v>293304</v>
      </c>
      <c r="Z23" s="920">
        <v>272744</v>
      </c>
      <c r="AA23" s="917">
        <v>99059</v>
      </c>
      <c r="AB23" s="917">
        <v>36139</v>
      </c>
      <c r="AC23" s="917">
        <v>314186</v>
      </c>
      <c r="AD23" s="917">
        <v>116664</v>
      </c>
      <c r="AE23" s="917">
        <v>3247</v>
      </c>
      <c r="AF23" s="917">
        <v>6804</v>
      </c>
      <c r="AG23" s="917">
        <v>25</v>
      </c>
      <c r="AH23" s="917">
        <v>7</v>
      </c>
      <c r="AI23" s="917">
        <v>0</v>
      </c>
      <c r="AJ23" s="917">
        <v>0</v>
      </c>
      <c r="AK23" s="917">
        <v>50946</v>
      </c>
      <c r="AL23" s="917">
        <v>28554</v>
      </c>
      <c r="AM23" s="917">
        <v>53914</v>
      </c>
      <c r="AN23" s="917">
        <v>566048</v>
      </c>
      <c r="AO23" s="918">
        <v>46023</v>
      </c>
      <c r="AP23" s="918">
        <v>46387</v>
      </c>
      <c r="AQ23" s="919" t="s">
        <v>2605</v>
      </c>
      <c r="AR23" s="107"/>
      <c r="AS23" s="107"/>
      <c r="AT23" s="107"/>
      <c r="AU23" s="107"/>
      <c r="AV23" s="107"/>
      <c r="AW23" s="107"/>
      <c r="AX23" s="107"/>
      <c r="AY23" s="107"/>
      <c r="AZ23" s="107"/>
      <c r="BA23" s="107"/>
      <c r="BB23" s="107"/>
      <c r="BC23" s="107"/>
      <c r="BD23" s="107"/>
      <c r="BE23" s="107"/>
      <c r="BF23" s="107"/>
    </row>
    <row r="24" spans="1:58" s="16" customFormat="1" ht="81" hidden="1">
      <c r="A24" s="906">
        <v>1</v>
      </c>
      <c r="B24" s="907" t="s">
        <v>513</v>
      </c>
      <c r="C24" s="906">
        <v>43</v>
      </c>
      <c r="D24" s="908" t="s">
        <v>2634</v>
      </c>
      <c r="E24" s="906">
        <v>4301</v>
      </c>
      <c r="F24" s="908" t="s">
        <v>2279</v>
      </c>
      <c r="G24" s="909">
        <v>4301004</v>
      </c>
      <c r="H24" s="908" t="s">
        <v>2280</v>
      </c>
      <c r="I24" s="909">
        <v>430100400</v>
      </c>
      <c r="J24" s="908" t="s">
        <v>2281</v>
      </c>
      <c r="K24" s="910">
        <v>16</v>
      </c>
      <c r="L24" s="910">
        <v>3</v>
      </c>
      <c r="M24" s="128">
        <v>19</v>
      </c>
      <c r="N24" s="911">
        <v>2024003630032</v>
      </c>
      <c r="O24" s="907" t="s">
        <v>2635</v>
      </c>
      <c r="P24" s="912" t="s">
        <v>2645</v>
      </c>
      <c r="Q24" s="947">
        <f>62000000+88000000</f>
        <v>150000000</v>
      </c>
      <c r="R24" s="913">
        <f>4000000+5400000+6000000+3200000+3200000+2000000+3200000+3200000+2800000+3200000+3200000+4800000+4800000+4000000+1000000+4000000+4400000</f>
        <v>62400000</v>
      </c>
      <c r="S24" s="914"/>
      <c r="T24" s="914"/>
      <c r="U24" s="328">
        <f t="shared" si="1"/>
        <v>87600000</v>
      </c>
      <c r="V24" s="915" t="s">
        <v>2639</v>
      </c>
      <c r="W24" s="916">
        <v>4</v>
      </c>
      <c r="X24" s="916" t="s">
        <v>2285</v>
      </c>
      <c r="Y24" s="917">
        <v>293304</v>
      </c>
      <c r="Z24" s="920">
        <v>272744</v>
      </c>
      <c r="AA24" s="917">
        <v>99059</v>
      </c>
      <c r="AB24" s="917">
        <v>36139</v>
      </c>
      <c r="AC24" s="917">
        <v>314186</v>
      </c>
      <c r="AD24" s="917">
        <v>116664</v>
      </c>
      <c r="AE24" s="917">
        <v>3247</v>
      </c>
      <c r="AF24" s="917">
        <v>6804</v>
      </c>
      <c r="AG24" s="917">
        <v>25</v>
      </c>
      <c r="AH24" s="917">
        <v>7</v>
      </c>
      <c r="AI24" s="917">
        <v>0</v>
      </c>
      <c r="AJ24" s="917">
        <v>0</v>
      </c>
      <c r="AK24" s="917">
        <v>50946</v>
      </c>
      <c r="AL24" s="917">
        <v>28554</v>
      </c>
      <c r="AM24" s="917">
        <v>53914</v>
      </c>
      <c r="AN24" s="917">
        <v>566048</v>
      </c>
      <c r="AO24" s="918">
        <v>46023</v>
      </c>
      <c r="AP24" s="918">
        <v>46387</v>
      </c>
      <c r="AQ24" s="919" t="s">
        <v>2605</v>
      </c>
      <c r="AR24" s="107"/>
      <c r="AS24" s="107"/>
      <c r="AT24" s="107"/>
      <c r="AU24" s="107"/>
      <c r="AV24" s="107"/>
      <c r="AW24" s="107"/>
      <c r="AX24" s="107"/>
      <c r="AY24" s="107"/>
      <c r="AZ24" s="107"/>
      <c r="BA24" s="107"/>
      <c r="BB24" s="107"/>
      <c r="BC24" s="107"/>
      <c r="BD24" s="107"/>
      <c r="BE24" s="107"/>
      <c r="BF24" s="107"/>
    </row>
    <row r="25" spans="1:58" s="16" customFormat="1" ht="55.5" hidden="1" customHeight="1">
      <c r="A25" s="906">
        <v>1</v>
      </c>
      <c r="B25" s="907" t="s">
        <v>513</v>
      </c>
      <c r="C25" s="906">
        <v>43</v>
      </c>
      <c r="D25" s="908" t="s">
        <v>2634</v>
      </c>
      <c r="E25" s="906">
        <v>4301</v>
      </c>
      <c r="F25" s="908" t="s">
        <v>2279</v>
      </c>
      <c r="G25" s="909">
        <v>4301013</v>
      </c>
      <c r="H25" s="908" t="s">
        <v>2646</v>
      </c>
      <c r="I25" s="909">
        <v>430101300</v>
      </c>
      <c r="J25" s="908" t="s">
        <v>2647</v>
      </c>
      <c r="K25" s="910">
        <v>3</v>
      </c>
      <c r="L25" s="910"/>
      <c r="M25" s="910">
        <v>3</v>
      </c>
      <c r="N25" s="911">
        <v>2024003630032</v>
      </c>
      <c r="O25" s="907" t="s">
        <v>2635</v>
      </c>
      <c r="P25" s="912" t="s">
        <v>2648</v>
      </c>
      <c r="Q25" s="901">
        <v>1079602074.95</v>
      </c>
      <c r="R25" s="913"/>
      <c r="S25" s="914"/>
      <c r="T25" s="914"/>
      <c r="U25" s="328">
        <f t="shared" si="1"/>
        <v>1079602074.95</v>
      </c>
      <c r="V25" s="915" t="s">
        <v>2649</v>
      </c>
      <c r="W25" s="916">
        <v>4</v>
      </c>
      <c r="X25" s="916" t="s">
        <v>2285</v>
      </c>
      <c r="Y25" s="917">
        <v>293304</v>
      </c>
      <c r="Z25" s="920">
        <v>272744</v>
      </c>
      <c r="AA25" s="917">
        <v>99059</v>
      </c>
      <c r="AB25" s="917">
        <v>36139</v>
      </c>
      <c r="AC25" s="917">
        <v>314186</v>
      </c>
      <c r="AD25" s="917">
        <v>116664</v>
      </c>
      <c r="AE25" s="917">
        <v>3247</v>
      </c>
      <c r="AF25" s="917">
        <v>6804</v>
      </c>
      <c r="AG25" s="917">
        <v>25</v>
      </c>
      <c r="AH25" s="917">
        <v>7</v>
      </c>
      <c r="AI25" s="917">
        <v>0</v>
      </c>
      <c r="AJ25" s="917">
        <v>0</v>
      </c>
      <c r="AK25" s="917">
        <v>50946</v>
      </c>
      <c r="AL25" s="917">
        <v>28554</v>
      </c>
      <c r="AM25" s="917">
        <v>53914</v>
      </c>
      <c r="AN25" s="917">
        <v>566048</v>
      </c>
      <c r="AO25" s="918">
        <v>46023</v>
      </c>
      <c r="AP25" s="918">
        <v>46387</v>
      </c>
      <c r="AQ25" s="919" t="s">
        <v>2605</v>
      </c>
      <c r="AR25" s="107"/>
      <c r="AS25" s="107"/>
      <c r="AT25" s="107"/>
      <c r="AU25" s="107"/>
      <c r="AV25" s="107"/>
      <c r="AW25" s="107"/>
      <c r="AX25" s="107"/>
      <c r="AY25" s="107"/>
      <c r="AZ25" s="107"/>
      <c r="BA25" s="107"/>
      <c r="BB25" s="107"/>
      <c r="BC25" s="107"/>
      <c r="BD25" s="107"/>
      <c r="BE25" s="107"/>
      <c r="BF25" s="107"/>
    </row>
    <row r="26" spans="1:58" s="16" customFormat="1" ht="55.5" hidden="1" customHeight="1">
      <c r="A26" s="906">
        <v>1</v>
      </c>
      <c r="B26" s="907" t="s">
        <v>513</v>
      </c>
      <c r="C26" s="906">
        <v>43</v>
      </c>
      <c r="D26" s="908" t="s">
        <v>2634</v>
      </c>
      <c r="E26" s="906">
        <v>4301</v>
      </c>
      <c r="F26" s="908" t="s">
        <v>2279</v>
      </c>
      <c r="G26" s="909">
        <v>4301013</v>
      </c>
      <c r="H26" s="908" t="s">
        <v>2646</v>
      </c>
      <c r="I26" s="909">
        <v>430101300</v>
      </c>
      <c r="J26" s="908" t="s">
        <v>2647</v>
      </c>
      <c r="K26" s="910">
        <v>3</v>
      </c>
      <c r="L26" s="910"/>
      <c r="M26" s="910">
        <v>3</v>
      </c>
      <c r="N26" s="911">
        <v>2024003630032</v>
      </c>
      <c r="O26" s="907" t="s">
        <v>2635</v>
      </c>
      <c r="P26" s="912" t="s">
        <v>2650</v>
      </c>
      <c r="Q26" s="947">
        <f>133433964-133433964</f>
        <v>0</v>
      </c>
      <c r="R26" s="913"/>
      <c r="S26" s="914"/>
      <c r="T26" s="914"/>
      <c r="U26" s="328">
        <f t="shared" si="1"/>
        <v>0</v>
      </c>
      <c r="V26" s="915" t="s">
        <v>2651</v>
      </c>
      <c r="W26" s="916">
        <v>4</v>
      </c>
      <c r="X26" s="916" t="s">
        <v>2285</v>
      </c>
      <c r="Y26" s="917">
        <v>293304</v>
      </c>
      <c r="Z26" s="920">
        <v>272744</v>
      </c>
      <c r="AA26" s="917">
        <v>99059</v>
      </c>
      <c r="AB26" s="917">
        <v>36139</v>
      </c>
      <c r="AC26" s="917">
        <v>314186</v>
      </c>
      <c r="AD26" s="917">
        <v>116664</v>
      </c>
      <c r="AE26" s="917">
        <v>3247</v>
      </c>
      <c r="AF26" s="917">
        <v>6804</v>
      </c>
      <c r="AG26" s="917">
        <v>25</v>
      </c>
      <c r="AH26" s="917">
        <v>7</v>
      </c>
      <c r="AI26" s="917">
        <v>0</v>
      </c>
      <c r="AJ26" s="917">
        <v>0</v>
      </c>
      <c r="AK26" s="917">
        <v>50946</v>
      </c>
      <c r="AL26" s="917">
        <v>28554</v>
      </c>
      <c r="AM26" s="917">
        <v>53914</v>
      </c>
      <c r="AN26" s="917">
        <v>566048</v>
      </c>
      <c r="AO26" s="918">
        <v>46023</v>
      </c>
      <c r="AP26" s="918">
        <v>46387</v>
      </c>
      <c r="AQ26" s="919" t="s">
        <v>2605</v>
      </c>
      <c r="AR26" s="107"/>
      <c r="AS26" s="107"/>
      <c r="AT26" s="107"/>
      <c r="AU26" s="107"/>
      <c r="AV26" s="107"/>
      <c r="AW26" s="107"/>
      <c r="AX26" s="107"/>
      <c r="AY26" s="107"/>
      <c r="AZ26" s="107"/>
      <c r="BA26" s="107"/>
      <c r="BB26" s="107"/>
      <c r="BC26" s="107"/>
      <c r="BD26" s="107"/>
      <c r="BE26" s="107"/>
      <c r="BF26" s="107"/>
    </row>
    <row r="27" spans="1:58" s="16" customFormat="1" ht="55.5" hidden="1" customHeight="1">
      <c r="A27" s="906">
        <v>1</v>
      </c>
      <c r="B27" s="907" t="s">
        <v>513</v>
      </c>
      <c r="C27" s="906">
        <v>43</v>
      </c>
      <c r="D27" s="908" t="s">
        <v>2634</v>
      </c>
      <c r="E27" s="906">
        <v>4301</v>
      </c>
      <c r="F27" s="908" t="s">
        <v>2279</v>
      </c>
      <c r="G27" s="909">
        <v>4301013</v>
      </c>
      <c r="H27" s="908" t="s">
        <v>2646</v>
      </c>
      <c r="I27" s="909">
        <v>430101300</v>
      </c>
      <c r="J27" s="908" t="s">
        <v>2647</v>
      </c>
      <c r="K27" s="910">
        <v>3</v>
      </c>
      <c r="L27" s="910"/>
      <c r="M27" s="910">
        <v>3</v>
      </c>
      <c r="N27" s="911">
        <v>2024003630032</v>
      </c>
      <c r="O27" s="907" t="s">
        <v>2635</v>
      </c>
      <c r="P27" s="912" t="s">
        <v>2652</v>
      </c>
      <c r="Q27" s="901">
        <v>150000000</v>
      </c>
      <c r="R27" s="913"/>
      <c r="S27" s="914"/>
      <c r="T27" s="914"/>
      <c r="U27" s="328">
        <f t="shared" si="1"/>
        <v>150000000</v>
      </c>
      <c r="V27" s="915" t="s">
        <v>2653</v>
      </c>
      <c r="W27" s="916">
        <v>4</v>
      </c>
      <c r="X27" s="916" t="s">
        <v>2285</v>
      </c>
      <c r="Y27" s="917">
        <v>293304</v>
      </c>
      <c r="Z27" s="920">
        <v>272744</v>
      </c>
      <c r="AA27" s="917">
        <v>99059</v>
      </c>
      <c r="AB27" s="917">
        <v>36139</v>
      </c>
      <c r="AC27" s="917">
        <v>314186</v>
      </c>
      <c r="AD27" s="917">
        <v>116664</v>
      </c>
      <c r="AE27" s="917">
        <v>3247</v>
      </c>
      <c r="AF27" s="917">
        <v>6804</v>
      </c>
      <c r="AG27" s="917">
        <v>25</v>
      </c>
      <c r="AH27" s="917">
        <v>7</v>
      </c>
      <c r="AI27" s="917">
        <v>0</v>
      </c>
      <c r="AJ27" s="917">
        <v>0</v>
      </c>
      <c r="AK27" s="917">
        <v>50946</v>
      </c>
      <c r="AL27" s="917">
        <v>28554</v>
      </c>
      <c r="AM27" s="917">
        <v>53914</v>
      </c>
      <c r="AN27" s="917">
        <v>566048</v>
      </c>
      <c r="AO27" s="918">
        <v>46023</v>
      </c>
      <c r="AP27" s="918">
        <v>46387</v>
      </c>
      <c r="AQ27" s="919" t="s">
        <v>2605</v>
      </c>
      <c r="AR27" s="107"/>
      <c r="AS27" s="107"/>
      <c r="AT27" s="107"/>
      <c r="AU27" s="107"/>
      <c r="AV27" s="107"/>
      <c r="AW27" s="107"/>
      <c r="AX27" s="107"/>
      <c r="AY27" s="107"/>
      <c r="AZ27" s="107"/>
      <c r="BA27" s="107"/>
      <c r="BB27" s="107"/>
      <c r="BC27" s="107"/>
      <c r="BD27" s="107"/>
      <c r="BE27" s="107"/>
      <c r="BF27" s="107"/>
    </row>
    <row r="28" spans="1:58" s="16" customFormat="1" ht="55.5" hidden="1" customHeight="1">
      <c r="A28" s="906">
        <v>1</v>
      </c>
      <c r="B28" s="907" t="s">
        <v>513</v>
      </c>
      <c r="C28" s="906">
        <v>43</v>
      </c>
      <c r="D28" s="908" t="s">
        <v>2634</v>
      </c>
      <c r="E28" s="906">
        <v>4301</v>
      </c>
      <c r="F28" s="908" t="s">
        <v>2279</v>
      </c>
      <c r="G28" s="909">
        <v>4301013</v>
      </c>
      <c r="H28" s="908" t="s">
        <v>2646</v>
      </c>
      <c r="I28" s="909">
        <v>430101300</v>
      </c>
      <c r="J28" s="908" t="s">
        <v>2647</v>
      </c>
      <c r="K28" s="910">
        <v>3</v>
      </c>
      <c r="L28" s="910"/>
      <c r="M28" s="128">
        <v>3</v>
      </c>
      <c r="N28" s="911">
        <v>2024003630032</v>
      </c>
      <c r="O28" s="907" t="s">
        <v>2635</v>
      </c>
      <c r="P28" s="912" t="s">
        <v>2654</v>
      </c>
      <c r="Q28" s="901">
        <v>20000000</v>
      </c>
      <c r="R28" s="913"/>
      <c r="S28" s="914"/>
      <c r="T28" s="914"/>
      <c r="U28" s="328">
        <f t="shared" si="1"/>
        <v>20000000</v>
      </c>
      <c r="V28" s="915" t="s">
        <v>2655</v>
      </c>
      <c r="W28" s="916">
        <v>20</v>
      </c>
      <c r="X28" s="916" t="s">
        <v>67</v>
      </c>
      <c r="Y28" s="917">
        <v>293304</v>
      </c>
      <c r="Z28" s="920">
        <v>272744</v>
      </c>
      <c r="AA28" s="917">
        <v>99059</v>
      </c>
      <c r="AB28" s="917">
        <v>36139</v>
      </c>
      <c r="AC28" s="917">
        <v>314186</v>
      </c>
      <c r="AD28" s="917">
        <v>116664</v>
      </c>
      <c r="AE28" s="917">
        <v>3247</v>
      </c>
      <c r="AF28" s="917">
        <v>6804</v>
      </c>
      <c r="AG28" s="917">
        <v>25</v>
      </c>
      <c r="AH28" s="917">
        <v>7</v>
      </c>
      <c r="AI28" s="917">
        <v>0</v>
      </c>
      <c r="AJ28" s="917">
        <v>0</v>
      </c>
      <c r="AK28" s="917">
        <v>50946</v>
      </c>
      <c r="AL28" s="917">
        <v>28554</v>
      </c>
      <c r="AM28" s="917">
        <v>53914</v>
      </c>
      <c r="AN28" s="917">
        <v>566048</v>
      </c>
      <c r="AO28" s="918">
        <v>46023</v>
      </c>
      <c r="AP28" s="918">
        <v>46387</v>
      </c>
      <c r="AQ28" s="919" t="s">
        <v>2605</v>
      </c>
      <c r="AR28" s="107"/>
      <c r="AS28" s="107"/>
      <c r="AT28" s="107"/>
      <c r="AU28" s="107"/>
      <c r="AV28" s="107"/>
      <c r="AW28" s="107"/>
      <c r="AX28" s="107"/>
      <c r="AY28" s="107"/>
      <c r="AZ28" s="107"/>
      <c r="BA28" s="107"/>
      <c r="BB28" s="107"/>
      <c r="BC28" s="107"/>
      <c r="BD28" s="107"/>
      <c r="BE28" s="107"/>
      <c r="BF28" s="107"/>
    </row>
    <row r="29" spans="1:58" s="16" customFormat="1" ht="81" hidden="1">
      <c r="A29" s="906">
        <v>1</v>
      </c>
      <c r="B29" s="907" t="s">
        <v>513</v>
      </c>
      <c r="C29" s="906">
        <v>43</v>
      </c>
      <c r="D29" s="908" t="s">
        <v>2634</v>
      </c>
      <c r="E29" s="906">
        <v>4301</v>
      </c>
      <c r="F29" s="908" t="s">
        <v>2279</v>
      </c>
      <c r="G29" s="909">
        <v>4301013</v>
      </c>
      <c r="H29" s="908" t="s">
        <v>2646</v>
      </c>
      <c r="I29" s="909">
        <v>430101300</v>
      </c>
      <c r="J29" s="908" t="s">
        <v>2647</v>
      </c>
      <c r="K29" s="910">
        <v>3</v>
      </c>
      <c r="L29" s="910"/>
      <c r="M29" s="128">
        <v>3</v>
      </c>
      <c r="N29" s="911">
        <v>2024003630032</v>
      </c>
      <c r="O29" s="907" t="s">
        <v>2635</v>
      </c>
      <c r="P29" s="912" t="s">
        <v>2656</v>
      </c>
      <c r="Q29" s="947">
        <f>103259009.74+133433964</f>
        <v>236692973.74000001</v>
      </c>
      <c r="R29" s="913">
        <f>2800000+6800000+7400000+6800000+7400000+16000000+8000000+8000000+8000000+8000000+4800000+4000000+6000000+9200000</f>
        <v>103200000</v>
      </c>
      <c r="S29" s="914"/>
      <c r="T29" s="914"/>
      <c r="U29" s="328">
        <f t="shared" si="1"/>
        <v>133492973.74000001</v>
      </c>
      <c r="V29" s="915" t="s">
        <v>2651</v>
      </c>
      <c r="W29" s="916">
        <v>4</v>
      </c>
      <c r="X29" s="916" t="s">
        <v>2285</v>
      </c>
      <c r="Y29" s="917">
        <v>293304</v>
      </c>
      <c r="Z29" s="920">
        <v>272744</v>
      </c>
      <c r="AA29" s="917">
        <v>99059</v>
      </c>
      <c r="AB29" s="917">
        <v>36139</v>
      </c>
      <c r="AC29" s="917">
        <v>314186</v>
      </c>
      <c r="AD29" s="917">
        <v>116664</v>
      </c>
      <c r="AE29" s="917">
        <v>3247</v>
      </c>
      <c r="AF29" s="917">
        <v>6804</v>
      </c>
      <c r="AG29" s="917">
        <v>25</v>
      </c>
      <c r="AH29" s="917">
        <v>7</v>
      </c>
      <c r="AI29" s="917">
        <v>0</v>
      </c>
      <c r="AJ29" s="917">
        <v>0</v>
      </c>
      <c r="AK29" s="917">
        <v>50946</v>
      </c>
      <c r="AL29" s="917">
        <v>28554</v>
      </c>
      <c r="AM29" s="917">
        <v>53914</v>
      </c>
      <c r="AN29" s="917">
        <v>566048</v>
      </c>
      <c r="AO29" s="918">
        <v>46023</v>
      </c>
      <c r="AP29" s="918">
        <v>46387</v>
      </c>
      <c r="AQ29" s="919" t="s">
        <v>2605</v>
      </c>
      <c r="AR29" s="107"/>
      <c r="AS29" s="107"/>
      <c r="AT29" s="107"/>
      <c r="AU29" s="107"/>
      <c r="AV29" s="107"/>
      <c r="AW29" s="107"/>
      <c r="AX29" s="107"/>
      <c r="AY29" s="107"/>
      <c r="AZ29" s="107"/>
      <c r="BA29" s="107"/>
      <c r="BB29" s="107"/>
      <c r="BC29" s="107"/>
      <c r="BD29" s="107"/>
      <c r="BE29" s="107"/>
      <c r="BF29" s="107"/>
    </row>
    <row r="30" spans="1:58" s="16" customFormat="1" ht="81" hidden="1">
      <c r="A30" s="906">
        <v>1</v>
      </c>
      <c r="B30" s="907" t="s">
        <v>513</v>
      </c>
      <c r="C30" s="906">
        <v>43</v>
      </c>
      <c r="D30" s="908" t="s">
        <v>2634</v>
      </c>
      <c r="E30" s="906">
        <v>4301</v>
      </c>
      <c r="F30" s="908" t="s">
        <v>2279</v>
      </c>
      <c r="G30" s="909">
        <v>4301013</v>
      </c>
      <c r="H30" s="908" t="s">
        <v>2646</v>
      </c>
      <c r="I30" s="909">
        <v>430101300</v>
      </c>
      <c r="J30" s="908" t="s">
        <v>2647</v>
      </c>
      <c r="K30" s="910">
        <v>3</v>
      </c>
      <c r="L30" s="910"/>
      <c r="M30" s="128">
        <v>3</v>
      </c>
      <c r="N30" s="911">
        <v>2024003630032</v>
      </c>
      <c r="O30" s="907" t="s">
        <v>2635</v>
      </c>
      <c r="P30" s="912" t="s">
        <v>2657</v>
      </c>
      <c r="Q30" s="901">
        <v>20000000</v>
      </c>
      <c r="R30" s="913">
        <f>12000000+4000000+4000000</f>
        <v>20000000</v>
      </c>
      <c r="S30" s="914"/>
      <c r="T30" s="914"/>
      <c r="U30" s="328">
        <f t="shared" si="1"/>
        <v>0</v>
      </c>
      <c r="V30" s="915" t="s">
        <v>2658</v>
      </c>
      <c r="W30" s="916">
        <v>20</v>
      </c>
      <c r="X30" s="916" t="s">
        <v>67</v>
      </c>
      <c r="Y30" s="917">
        <v>293304</v>
      </c>
      <c r="Z30" s="920">
        <v>272744</v>
      </c>
      <c r="AA30" s="917">
        <v>99059</v>
      </c>
      <c r="AB30" s="917">
        <v>36139</v>
      </c>
      <c r="AC30" s="917">
        <v>314186</v>
      </c>
      <c r="AD30" s="917">
        <v>116664</v>
      </c>
      <c r="AE30" s="917">
        <v>3247</v>
      </c>
      <c r="AF30" s="917">
        <v>6804</v>
      </c>
      <c r="AG30" s="917">
        <v>25</v>
      </c>
      <c r="AH30" s="917">
        <v>7</v>
      </c>
      <c r="AI30" s="917">
        <v>0</v>
      </c>
      <c r="AJ30" s="917">
        <v>0</v>
      </c>
      <c r="AK30" s="917">
        <v>50946</v>
      </c>
      <c r="AL30" s="917">
        <v>28554</v>
      </c>
      <c r="AM30" s="917">
        <v>53914</v>
      </c>
      <c r="AN30" s="917">
        <v>566048</v>
      </c>
      <c r="AO30" s="918">
        <v>46023</v>
      </c>
      <c r="AP30" s="918">
        <v>46387</v>
      </c>
      <c r="AQ30" s="919" t="s">
        <v>2605</v>
      </c>
      <c r="AR30" s="107"/>
      <c r="AS30" s="107"/>
      <c r="AT30" s="107"/>
      <c r="AU30" s="107"/>
      <c r="AV30" s="107"/>
      <c r="AW30" s="107"/>
      <c r="AX30" s="107"/>
      <c r="AY30" s="107"/>
      <c r="AZ30" s="107"/>
      <c r="BA30" s="107"/>
      <c r="BB30" s="107"/>
      <c r="BC30" s="107"/>
      <c r="BD30" s="107"/>
      <c r="BE30" s="107"/>
      <c r="BF30" s="107"/>
    </row>
    <row r="31" spans="1:58" s="16" customFormat="1" ht="73.5" hidden="1" customHeight="1">
      <c r="A31" s="906">
        <v>1</v>
      </c>
      <c r="B31" s="907" t="s">
        <v>513</v>
      </c>
      <c r="C31" s="906">
        <v>43</v>
      </c>
      <c r="D31" s="908" t="s">
        <v>2634</v>
      </c>
      <c r="E31" s="906">
        <v>4301</v>
      </c>
      <c r="F31" s="908" t="s">
        <v>2279</v>
      </c>
      <c r="G31" s="909">
        <v>4301013</v>
      </c>
      <c r="H31" s="908" t="s">
        <v>2646</v>
      </c>
      <c r="I31" s="909">
        <v>430101300</v>
      </c>
      <c r="J31" s="908" t="s">
        <v>2647</v>
      </c>
      <c r="K31" s="910">
        <v>3</v>
      </c>
      <c r="L31" s="910"/>
      <c r="M31" s="128">
        <v>3</v>
      </c>
      <c r="N31" s="911">
        <v>2024003630032</v>
      </c>
      <c r="O31" s="907" t="s">
        <v>2635</v>
      </c>
      <c r="P31" s="912" t="s">
        <v>2659</v>
      </c>
      <c r="Q31" s="901">
        <v>10000000</v>
      </c>
      <c r="R31" s="913">
        <f>10000000</f>
        <v>10000000</v>
      </c>
      <c r="S31" s="914"/>
      <c r="T31" s="914"/>
      <c r="U31" s="328">
        <f t="shared" si="1"/>
        <v>0</v>
      </c>
      <c r="V31" s="915" t="s">
        <v>2658</v>
      </c>
      <c r="W31" s="916">
        <v>20</v>
      </c>
      <c r="X31" s="916" t="s">
        <v>67</v>
      </c>
      <c r="Y31" s="917">
        <v>293304</v>
      </c>
      <c r="Z31" s="920">
        <v>272744</v>
      </c>
      <c r="AA31" s="917">
        <v>99059</v>
      </c>
      <c r="AB31" s="917">
        <v>36139</v>
      </c>
      <c r="AC31" s="917">
        <v>314186</v>
      </c>
      <c r="AD31" s="917">
        <v>116664</v>
      </c>
      <c r="AE31" s="917">
        <v>3247</v>
      </c>
      <c r="AF31" s="917">
        <v>6804</v>
      </c>
      <c r="AG31" s="917">
        <v>25</v>
      </c>
      <c r="AH31" s="917">
        <v>7</v>
      </c>
      <c r="AI31" s="917">
        <v>0</v>
      </c>
      <c r="AJ31" s="917">
        <v>0</v>
      </c>
      <c r="AK31" s="917">
        <v>50946</v>
      </c>
      <c r="AL31" s="917">
        <v>28554</v>
      </c>
      <c r="AM31" s="917">
        <v>53914</v>
      </c>
      <c r="AN31" s="917">
        <v>566048</v>
      </c>
      <c r="AO31" s="918">
        <v>46023</v>
      </c>
      <c r="AP31" s="918">
        <v>46387</v>
      </c>
      <c r="AQ31" s="919" t="s">
        <v>2605</v>
      </c>
      <c r="AR31" s="107"/>
      <c r="AS31" s="107"/>
      <c r="AT31" s="107"/>
      <c r="AU31" s="107"/>
      <c r="AV31" s="107"/>
      <c r="AW31" s="107"/>
      <c r="AX31" s="107"/>
      <c r="AY31" s="107"/>
      <c r="AZ31" s="107"/>
      <c r="BA31" s="107"/>
      <c r="BB31" s="107"/>
      <c r="BC31" s="107"/>
      <c r="BD31" s="107"/>
      <c r="BE31" s="107"/>
      <c r="BF31" s="107"/>
    </row>
    <row r="32" spans="1:58" s="16" customFormat="1" ht="55.5" hidden="1" customHeight="1">
      <c r="A32" s="906">
        <v>2</v>
      </c>
      <c r="B32" s="907" t="s">
        <v>326</v>
      </c>
      <c r="C32" s="906">
        <v>45</v>
      </c>
      <c r="D32" s="908" t="s">
        <v>59</v>
      </c>
      <c r="E32" s="906">
        <v>4503</v>
      </c>
      <c r="F32" s="908" t="s">
        <v>327</v>
      </c>
      <c r="G32" s="909">
        <v>4503022</v>
      </c>
      <c r="H32" s="908" t="s">
        <v>2660</v>
      </c>
      <c r="I32" s="909">
        <v>450302200</v>
      </c>
      <c r="J32" s="908" t="s">
        <v>2661</v>
      </c>
      <c r="K32" s="910">
        <v>6</v>
      </c>
      <c r="L32" s="910"/>
      <c r="M32" s="128">
        <v>6</v>
      </c>
      <c r="N32" s="911">
        <v>2024003630033</v>
      </c>
      <c r="O32" s="907" t="s">
        <v>2662</v>
      </c>
      <c r="P32" s="912" t="s">
        <v>2663</v>
      </c>
      <c r="Q32" s="901">
        <v>450000000</v>
      </c>
      <c r="R32" s="913">
        <f>60018351+388000000</f>
        <v>448018351</v>
      </c>
      <c r="S32" s="914"/>
      <c r="T32" s="914"/>
      <c r="U32" s="328">
        <f t="shared" si="1"/>
        <v>1981649</v>
      </c>
      <c r="V32" s="915" t="s">
        <v>2664</v>
      </c>
      <c r="W32" s="916">
        <v>20</v>
      </c>
      <c r="X32" s="916" t="s">
        <v>67</v>
      </c>
      <c r="Y32" s="917">
        <v>293304</v>
      </c>
      <c r="Z32" s="920">
        <v>272744</v>
      </c>
      <c r="AA32" s="917">
        <v>99059</v>
      </c>
      <c r="AB32" s="917">
        <v>36139</v>
      </c>
      <c r="AC32" s="917">
        <v>314186</v>
      </c>
      <c r="AD32" s="917">
        <v>116664</v>
      </c>
      <c r="AE32" s="917">
        <v>3247</v>
      </c>
      <c r="AF32" s="917">
        <v>6804</v>
      </c>
      <c r="AG32" s="917">
        <v>25</v>
      </c>
      <c r="AH32" s="917">
        <v>7</v>
      </c>
      <c r="AI32" s="917">
        <v>0</v>
      </c>
      <c r="AJ32" s="917">
        <v>0</v>
      </c>
      <c r="AK32" s="917">
        <v>50946</v>
      </c>
      <c r="AL32" s="917">
        <v>28554</v>
      </c>
      <c r="AM32" s="917">
        <v>53914</v>
      </c>
      <c r="AN32" s="917">
        <v>566048</v>
      </c>
      <c r="AO32" s="918">
        <v>46023</v>
      </c>
      <c r="AP32" s="918">
        <v>46387</v>
      </c>
      <c r="AQ32" s="919" t="s">
        <v>2605</v>
      </c>
      <c r="AR32" s="107"/>
      <c r="AS32" s="107"/>
      <c r="AT32" s="107"/>
      <c r="AU32" s="107"/>
      <c r="AV32" s="107"/>
      <c r="AW32" s="107"/>
      <c r="AX32" s="107"/>
      <c r="AY32" s="107"/>
      <c r="AZ32" s="107"/>
      <c r="BA32" s="107"/>
      <c r="BB32" s="107"/>
      <c r="BC32" s="107"/>
      <c r="BD32" s="107"/>
      <c r="BE32" s="107"/>
      <c r="BF32" s="107"/>
    </row>
    <row r="33" spans="1:58" s="16" customFormat="1" ht="55.5" hidden="1" customHeight="1">
      <c r="A33" s="906">
        <v>1</v>
      </c>
      <c r="B33" s="907" t="s">
        <v>513</v>
      </c>
      <c r="C33" s="906">
        <v>22</v>
      </c>
      <c r="D33" s="908" t="s">
        <v>1021</v>
      </c>
      <c r="E33" s="906">
        <v>2201</v>
      </c>
      <c r="F33" s="908" t="s">
        <v>379</v>
      </c>
      <c r="G33" s="909">
        <v>2201052</v>
      </c>
      <c r="H33" s="908" t="s">
        <v>2665</v>
      </c>
      <c r="I33" s="909">
        <v>220105200</v>
      </c>
      <c r="J33" s="908" t="s">
        <v>2666</v>
      </c>
      <c r="K33" s="910">
        <v>30</v>
      </c>
      <c r="L33" s="910">
        <v>15</v>
      </c>
      <c r="M33" s="128">
        <v>45</v>
      </c>
      <c r="N33" s="911">
        <v>2024003630036</v>
      </c>
      <c r="O33" s="907" t="s">
        <v>2667</v>
      </c>
      <c r="P33" s="912" t="s">
        <v>2668</v>
      </c>
      <c r="Q33" s="901">
        <v>1199720000</v>
      </c>
      <c r="R33" s="913">
        <f>57890996+356902165</f>
        <v>414793161</v>
      </c>
      <c r="S33" s="914"/>
      <c r="T33" s="914"/>
      <c r="U33" s="328">
        <f t="shared" si="1"/>
        <v>784926839</v>
      </c>
      <c r="V33" s="915" t="s">
        <v>2669</v>
      </c>
      <c r="W33" s="916">
        <v>4</v>
      </c>
      <c r="X33" s="916" t="s">
        <v>2285</v>
      </c>
      <c r="Y33" s="917"/>
      <c r="Z33" s="920"/>
      <c r="AA33" s="917">
        <v>99.058999999999997</v>
      </c>
      <c r="AB33" s="917">
        <v>36139</v>
      </c>
      <c r="AC33" s="917"/>
      <c r="AD33" s="917"/>
      <c r="AE33" s="917"/>
      <c r="AF33" s="917"/>
      <c r="AG33" s="917"/>
      <c r="AH33" s="917"/>
      <c r="AI33" s="917"/>
      <c r="AJ33" s="917"/>
      <c r="AK33" s="917"/>
      <c r="AL33" s="917"/>
      <c r="AM33" s="917"/>
      <c r="AN33" s="917">
        <v>135.19800000000001</v>
      </c>
      <c r="AO33" s="918">
        <v>46023</v>
      </c>
      <c r="AP33" s="918">
        <v>46387</v>
      </c>
      <c r="AQ33" s="919" t="s">
        <v>2605</v>
      </c>
      <c r="AR33" s="107"/>
      <c r="AS33" s="107"/>
      <c r="AT33" s="107"/>
      <c r="AU33" s="107"/>
      <c r="AV33" s="107"/>
      <c r="AW33" s="107"/>
      <c r="AX33" s="107"/>
      <c r="AY33" s="107"/>
      <c r="AZ33" s="107"/>
      <c r="BA33" s="107"/>
      <c r="BB33" s="107"/>
      <c r="BC33" s="107"/>
      <c r="BD33" s="107"/>
      <c r="BE33" s="107"/>
      <c r="BF33" s="107"/>
    </row>
    <row r="34" spans="1:58" s="16" customFormat="1" ht="55.5" hidden="1" customHeight="1">
      <c r="A34" s="906">
        <v>1</v>
      </c>
      <c r="B34" s="907" t="s">
        <v>513</v>
      </c>
      <c r="C34" s="906">
        <v>22</v>
      </c>
      <c r="D34" s="908" t="s">
        <v>1021</v>
      </c>
      <c r="E34" s="906">
        <v>2201</v>
      </c>
      <c r="F34" s="908" t="s">
        <v>379</v>
      </c>
      <c r="G34" s="909">
        <v>2201052</v>
      </c>
      <c r="H34" s="908" t="s">
        <v>2665</v>
      </c>
      <c r="I34" s="909">
        <v>220105200</v>
      </c>
      <c r="J34" s="908" t="s">
        <v>2666</v>
      </c>
      <c r="K34" s="910">
        <v>30</v>
      </c>
      <c r="L34" s="910">
        <v>15</v>
      </c>
      <c r="M34" s="128">
        <v>45</v>
      </c>
      <c r="N34" s="911">
        <v>2024003630036</v>
      </c>
      <c r="O34" s="907" t="s">
        <v>2667</v>
      </c>
      <c r="P34" s="912" t="s">
        <v>2670</v>
      </c>
      <c r="Q34" s="901">
        <v>148280000</v>
      </c>
      <c r="R34" s="913"/>
      <c r="S34" s="914"/>
      <c r="T34" s="914"/>
      <c r="U34" s="328">
        <f t="shared" si="1"/>
        <v>148280000</v>
      </c>
      <c r="V34" s="915" t="s">
        <v>2671</v>
      </c>
      <c r="W34" s="916">
        <v>4</v>
      </c>
      <c r="X34" s="916" t="s">
        <v>2285</v>
      </c>
      <c r="Y34" s="917"/>
      <c r="Z34" s="920"/>
      <c r="AA34" s="917">
        <v>99.058999999999997</v>
      </c>
      <c r="AB34" s="917">
        <v>36139</v>
      </c>
      <c r="AC34" s="917"/>
      <c r="AD34" s="917"/>
      <c r="AE34" s="917"/>
      <c r="AF34" s="917"/>
      <c r="AG34" s="917"/>
      <c r="AH34" s="917"/>
      <c r="AI34" s="917"/>
      <c r="AJ34" s="917"/>
      <c r="AK34" s="917"/>
      <c r="AL34" s="917"/>
      <c r="AM34" s="917"/>
      <c r="AN34" s="917">
        <v>135.19800000000001</v>
      </c>
      <c r="AO34" s="918">
        <v>46023</v>
      </c>
      <c r="AP34" s="918">
        <v>46387</v>
      </c>
      <c r="AQ34" s="919" t="s">
        <v>2605</v>
      </c>
      <c r="AR34" s="107"/>
      <c r="AS34" s="107"/>
      <c r="AT34" s="107"/>
      <c r="AU34" s="107"/>
      <c r="AV34" s="107"/>
      <c r="AW34" s="107"/>
      <c r="AX34" s="107"/>
      <c r="AY34" s="107"/>
      <c r="AZ34" s="107"/>
      <c r="BA34" s="107"/>
      <c r="BB34" s="107"/>
      <c r="BC34" s="107"/>
      <c r="BD34" s="107"/>
      <c r="BE34" s="107"/>
      <c r="BF34" s="107"/>
    </row>
    <row r="35" spans="1:58" s="16" customFormat="1" ht="55.5" hidden="1" customHeight="1">
      <c r="A35" s="906">
        <v>1</v>
      </c>
      <c r="B35" s="907" t="s">
        <v>513</v>
      </c>
      <c r="C35" s="906">
        <v>22</v>
      </c>
      <c r="D35" s="908" t="s">
        <v>1021</v>
      </c>
      <c r="E35" s="906">
        <v>2201</v>
      </c>
      <c r="F35" s="908" t="s">
        <v>379</v>
      </c>
      <c r="G35" s="909">
        <v>2201052</v>
      </c>
      <c r="H35" s="908" t="s">
        <v>2665</v>
      </c>
      <c r="I35" s="909">
        <v>220105200</v>
      </c>
      <c r="J35" s="908" t="s">
        <v>2666</v>
      </c>
      <c r="K35" s="910">
        <v>30</v>
      </c>
      <c r="L35" s="910">
        <v>15</v>
      </c>
      <c r="M35" s="128">
        <v>45</v>
      </c>
      <c r="N35" s="911">
        <v>2024003630036</v>
      </c>
      <c r="O35" s="907" t="s">
        <v>2667</v>
      </c>
      <c r="P35" s="912" t="s">
        <v>2672</v>
      </c>
      <c r="Q35" s="901">
        <v>150000000</v>
      </c>
      <c r="R35" s="913"/>
      <c r="S35" s="914"/>
      <c r="T35" s="914"/>
      <c r="U35" s="328">
        <f t="shared" si="1"/>
        <v>150000000</v>
      </c>
      <c r="V35" s="915" t="s">
        <v>2673</v>
      </c>
      <c r="W35" s="916">
        <v>4</v>
      </c>
      <c r="X35" s="916" t="s">
        <v>2285</v>
      </c>
      <c r="Y35" s="917"/>
      <c r="Z35" s="920"/>
      <c r="AA35" s="917">
        <v>99.058999999999997</v>
      </c>
      <c r="AB35" s="917">
        <v>36139</v>
      </c>
      <c r="AC35" s="917"/>
      <c r="AD35" s="917"/>
      <c r="AE35" s="917"/>
      <c r="AF35" s="917"/>
      <c r="AG35" s="917"/>
      <c r="AH35" s="917"/>
      <c r="AI35" s="917"/>
      <c r="AJ35" s="917"/>
      <c r="AK35" s="917"/>
      <c r="AL35" s="917"/>
      <c r="AM35" s="917"/>
      <c r="AN35" s="917">
        <v>135.19800000000001</v>
      </c>
      <c r="AO35" s="918">
        <v>46023</v>
      </c>
      <c r="AP35" s="918">
        <v>46387</v>
      </c>
      <c r="AQ35" s="919" t="s">
        <v>2605</v>
      </c>
      <c r="AR35" s="107"/>
      <c r="AS35" s="107"/>
      <c r="AT35" s="107"/>
      <c r="AU35" s="107"/>
      <c r="AV35" s="107"/>
      <c r="AW35" s="107"/>
      <c r="AX35" s="107"/>
      <c r="AY35" s="107"/>
      <c r="AZ35" s="107"/>
      <c r="BA35" s="107"/>
      <c r="BB35" s="107"/>
      <c r="BC35" s="107"/>
      <c r="BD35" s="107"/>
      <c r="BE35" s="107"/>
      <c r="BF35" s="107"/>
    </row>
    <row r="36" spans="1:58" s="16" customFormat="1" ht="55.5" hidden="1" customHeight="1">
      <c r="A36" s="906">
        <v>1</v>
      </c>
      <c r="B36" s="907" t="s">
        <v>513</v>
      </c>
      <c r="C36" s="906">
        <v>22</v>
      </c>
      <c r="D36" s="908" t="s">
        <v>1021</v>
      </c>
      <c r="E36" s="906">
        <v>2201</v>
      </c>
      <c r="F36" s="908" t="s">
        <v>379</v>
      </c>
      <c r="G36" s="909">
        <v>2201052</v>
      </c>
      <c r="H36" s="908" t="s">
        <v>2665</v>
      </c>
      <c r="I36" s="909">
        <v>220105200</v>
      </c>
      <c r="J36" s="908" t="s">
        <v>2666</v>
      </c>
      <c r="K36" s="910">
        <v>30</v>
      </c>
      <c r="L36" s="910">
        <v>15</v>
      </c>
      <c r="M36" s="128">
        <v>45</v>
      </c>
      <c r="N36" s="911">
        <v>2024003630036</v>
      </c>
      <c r="O36" s="907" t="s">
        <v>2667</v>
      </c>
      <c r="P36" s="912" t="s">
        <v>2674</v>
      </c>
      <c r="Q36" s="901">
        <v>10000000</v>
      </c>
      <c r="R36" s="913"/>
      <c r="S36" s="914"/>
      <c r="T36" s="914"/>
      <c r="U36" s="328">
        <f t="shared" si="1"/>
        <v>10000000</v>
      </c>
      <c r="V36" s="915" t="s">
        <v>2675</v>
      </c>
      <c r="W36" s="916">
        <v>20</v>
      </c>
      <c r="X36" s="916" t="s">
        <v>67</v>
      </c>
      <c r="Y36" s="917"/>
      <c r="Z36" s="920"/>
      <c r="AA36" s="917">
        <v>99.058999999999997</v>
      </c>
      <c r="AB36" s="917">
        <v>36139</v>
      </c>
      <c r="AC36" s="917"/>
      <c r="AD36" s="917"/>
      <c r="AE36" s="917"/>
      <c r="AF36" s="917"/>
      <c r="AG36" s="917"/>
      <c r="AH36" s="917"/>
      <c r="AI36" s="917"/>
      <c r="AJ36" s="917"/>
      <c r="AK36" s="917"/>
      <c r="AL36" s="917"/>
      <c r="AM36" s="917"/>
      <c r="AN36" s="917">
        <v>135.19800000000001</v>
      </c>
      <c r="AO36" s="918">
        <v>46023</v>
      </c>
      <c r="AP36" s="918">
        <v>46387</v>
      </c>
      <c r="AQ36" s="919" t="s">
        <v>2605</v>
      </c>
      <c r="AR36" s="107"/>
      <c r="AS36" s="107"/>
      <c r="AT36" s="107"/>
      <c r="AU36" s="107"/>
      <c r="AV36" s="107"/>
      <c r="AW36" s="107"/>
      <c r="AX36" s="107"/>
      <c r="AY36" s="107"/>
      <c r="AZ36" s="107"/>
      <c r="BA36" s="107"/>
      <c r="BB36" s="107"/>
      <c r="BC36" s="107"/>
      <c r="BD36" s="107"/>
      <c r="BE36" s="107"/>
      <c r="BF36" s="107"/>
    </row>
    <row r="37" spans="1:58" s="16" customFormat="1" ht="55.5" hidden="1" customHeight="1">
      <c r="A37" s="906">
        <v>1</v>
      </c>
      <c r="B37" s="907" t="s">
        <v>513</v>
      </c>
      <c r="C37" s="906">
        <v>22</v>
      </c>
      <c r="D37" s="908" t="s">
        <v>1021</v>
      </c>
      <c r="E37" s="906">
        <v>2201</v>
      </c>
      <c r="F37" s="908" t="s">
        <v>379</v>
      </c>
      <c r="G37" s="909">
        <v>2201052</v>
      </c>
      <c r="H37" s="908" t="s">
        <v>2665</v>
      </c>
      <c r="I37" s="909">
        <v>220105200</v>
      </c>
      <c r="J37" s="908" t="s">
        <v>2666</v>
      </c>
      <c r="K37" s="910">
        <v>30</v>
      </c>
      <c r="L37" s="910">
        <v>15</v>
      </c>
      <c r="M37" s="128">
        <v>45</v>
      </c>
      <c r="N37" s="911">
        <v>2024003630036</v>
      </c>
      <c r="O37" s="907" t="s">
        <v>2667</v>
      </c>
      <c r="P37" s="912" t="s">
        <v>2676</v>
      </c>
      <c r="Q37" s="901">
        <v>42000000</v>
      </c>
      <c r="R37" s="913">
        <f>7400000+7400000+8000000+16000000+3000000</f>
        <v>41800000</v>
      </c>
      <c r="S37" s="914"/>
      <c r="T37" s="914"/>
      <c r="U37" s="328">
        <f t="shared" si="1"/>
        <v>200000</v>
      </c>
      <c r="V37" s="915" t="s">
        <v>2671</v>
      </c>
      <c r="W37" s="916">
        <v>4</v>
      </c>
      <c r="X37" s="916" t="s">
        <v>2285</v>
      </c>
      <c r="Y37" s="917"/>
      <c r="Z37" s="920"/>
      <c r="AA37" s="917">
        <v>99.058999999999997</v>
      </c>
      <c r="AB37" s="917">
        <v>36139</v>
      </c>
      <c r="AC37" s="917"/>
      <c r="AD37" s="917"/>
      <c r="AE37" s="917"/>
      <c r="AF37" s="917"/>
      <c r="AG37" s="917"/>
      <c r="AH37" s="917"/>
      <c r="AI37" s="917"/>
      <c r="AJ37" s="917"/>
      <c r="AK37" s="917"/>
      <c r="AL37" s="917"/>
      <c r="AM37" s="917"/>
      <c r="AN37" s="917">
        <v>135.19800000000001</v>
      </c>
      <c r="AO37" s="918">
        <v>46023</v>
      </c>
      <c r="AP37" s="918">
        <v>46387</v>
      </c>
      <c r="AQ37" s="919" t="s">
        <v>2605</v>
      </c>
      <c r="AR37" s="107"/>
      <c r="AS37" s="107"/>
      <c r="AT37" s="107"/>
      <c r="AU37" s="107"/>
      <c r="AV37" s="107"/>
      <c r="AW37" s="107"/>
      <c r="AX37" s="107"/>
      <c r="AY37" s="107"/>
      <c r="AZ37" s="107"/>
      <c r="BA37" s="107"/>
      <c r="BB37" s="107"/>
      <c r="BC37" s="107"/>
      <c r="BD37" s="107"/>
      <c r="BE37" s="107"/>
      <c r="BF37" s="107"/>
    </row>
    <row r="38" spans="1:58" s="16" customFormat="1" ht="55.5" hidden="1" customHeight="1">
      <c r="A38" s="906">
        <v>1</v>
      </c>
      <c r="B38" s="907" t="s">
        <v>513</v>
      </c>
      <c r="C38" s="906">
        <v>22</v>
      </c>
      <c r="D38" s="908" t="s">
        <v>1021</v>
      </c>
      <c r="E38" s="906">
        <v>2201</v>
      </c>
      <c r="F38" s="908" t="s">
        <v>379</v>
      </c>
      <c r="G38" s="909">
        <v>2201052</v>
      </c>
      <c r="H38" s="908" t="s">
        <v>2665</v>
      </c>
      <c r="I38" s="909">
        <v>220105200</v>
      </c>
      <c r="J38" s="908" t="s">
        <v>2666</v>
      </c>
      <c r="K38" s="910">
        <v>30</v>
      </c>
      <c r="L38" s="910">
        <v>15</v>
      </c>
      <c r="M38" s="128">
        <v>45</v>
      </c>
      <c r="N38" s="911">
        <v>2024003630036</v>
      </c>
      <c r="O38" s="907" t="s">
        <v>2667</v>
      </c>
      <c r="P38" s="912" t="s">
        <v>2677</v>
      </c>
      <c r="Q38" s="901">
        <v>10000000</v>
      </c>
      <c r="R38" s="913">
        <f>10000000</f>
        <v>10000000</v>
      </c>
      <c r="S38" s="914"/>
      <c r="T38" s="914"/>
      <c r="U38" s="328">
        <f t="shared" si="1"/>
        <v>0</v>
      </c>
      <c r="V38" s="915" t="s">
        <v>2678</v>
      </c>
      <c r="W38" s="916">
        <v>20</v>
      </c>
      <c r="X38" s="916" t="s">
        <v>67</v>
      </c>
      <c r="Y38" s="917"/>
      <c r="Z38" s="920"/>
      <c r="AA38" s="917">
        <v>99.058999999999997</v>
      </c>
      <c r="AB38" s="917">
        <v>36139</v>
      </c>
      <c r="AC38" s="917"/>
      <c r="AD38" s="917"/>
      <c r="AE38" s="917"/>
      <c r="AF38" s="917"/>
      <c r="AG38" s="917"/>
      <c r="AH38" s="917"/>
      <c r="AI38" s="917"/>
      <c r="AJ38" s="917"/>
      <c r="AK38" s="917"/>
      <c r="AL38" s="917"/>
      <c r="AM38" s="917"/>
      <c r="AN38" s="917">
        <v>135.19800000000001</v>
      </c>
      <c r="AO38" s="918">
        <v>46023</v>
      </c>
      <c r="AP38" s="918">
        <v>46387</v>
      </c>
      <c r="AQ38" s="919" t="s">
        <v>2605</v>
      </c>
      <c r="AR38" s="107"/>
      <c r="AS38" s="107"/>
      <c r="AT38" s="107"/>
      <c r="AU38" s="107"/>
      <c r="AV38" s="107"/>
      <c r="AW38" s="107"/>
      <c r="AX38" s="107"/>
      <c r="AY38" s="107"/>
      <c r="AZ38" s="107"/>
      <c r="BA38" s="107"/>
      <c r="BB38" s="107"/>
      <c r="BC38" s="107"/>
      <c r="BD38" s="107"/>
      <c r="BE38" s="107"/>
      <c r="BF38" s="107"/>
    </row>
    <row r="39" spans="1:58" s="16" customFormat="1" ht="81" hidden="1">
      <c r="A39" s="906">
        <v>1</v>
      </c>
      <c r="B39" s="907" t="s">
        <v>513</v>
      </c>
      <c r="C39" s="906">
        <v>22</v>
      </c>
      <c r="D39" s="908" t="s">
        <v>1021</v>
      </c>
      <c r="E39" s="906">
        <v>2201</v>
      </c>
      <c r="F39" s="908" t="s">
        <v>379</v>
      </c>
      <c r="G39" s="909">
        <v>2201052</v>
      </c>
      <c r="H39" s="908" t="s">
        <v>2665</v>
      </c>
      <c r="I39" s="909">
        <v>220105200</v>
      </c>
      <c r="J39" s="908" t="s">
        <v>2666</v>
      </c>
      <c r="K39" s="910">
        <v>30</v>
      </c>
      <c r="L39" s="910">
        <v>15</v>
      </c>
      <c r="M39" s="128">
        <v>45</v>
      </c>
      <c r="N39" s="911">
        <v>2024003630036</v>
      </c>
      <c r="O39" s="907" t="s">
        <v>2667</v>
      </c>
      <c r="P39" s="912" t="s">
        <v>2679</v>
      </c>
      <c r="Q39" s="901">
        <v>125000000</v>
      </c>
      <c r="R39" s="913">
        <f>8000000+8000000+14800000+8000000+16000000+8000000+8000000+16000000+8000000+7400000+6000000+7400000+8000000</f>
        <v>123600000</v>
      </c>
      <c r="S39" s="914"/>
      <c r="T39" s="914"/>
      <c r="U39" s="328">
        <f t="shared" si="1"/>
        <v>1400000</v>
      </c>
      <c r="V39" s="915" t="s">
        <v>2678</v>
      </c>
      <c r="W39" s="916">
        <v>20</v>
      </c>
      <c r="X39" s="916" t="s">
        <v>67</v>
      </c>
      <c r="Y39" s="917"/>
      <c r="Z39" s="920"/>
      <c r="AA39" s="917">
        <v>99.058999999999997</v>
      </c>
      <c r="AB39" s="917">
        <v>36139</v>
      </c>
      <c r="AC39" s="917"/>
      <c r="AD39" s="917"/>
      <c r="AE39" s="917"/>
      <c r="AF39" s="917"/>
      <c r="AG39" s="917"/>
      <c r="AH39" s="917"/>
      <c r="AI39" s="917"/>
      <c r="AJ39" s="917"/>
      <c r="AK39" s="917"/>
      <c r="AL39" s="917"/>
      <c r="AM39" s="917"/>
      <c r="AN39" s="917">
        <v>135.19800000000001</v>
      </c>
      <c r="AO39" s="918">
        <v>46023</v>
      </c>
      <c r="AP39" s="918">
        <v>46387</v>
      </c>
      <c r="AQ39" s="919" t="s">
        <v>2605</v>
      </c>
      <c r="AR39" s="107"/>
      <c r="AS39" s="107"/>
      <c r="AT39" s="107"/>
      <c r="AU39" s="107"/>
      <c r="AV39" s="107"/>
      <c r="AW39" s="107"/>
      <c r="AX39" s="107"/>
      <c r="AY39" s="107"/>
      <c r="AZ39" s="107"/>
      <c r="BA39" s="107"/>
      <c r="BB39" s="107"/>
      <c r="BC39" s="107"/>
      <c r="BD39" s="107"/>
      <c r="BE39" s="107"/>
      <c r="BF39" s="107"/>
    </row>
    <row r="40" spans="1:58" s="16" customFormat="1" ht="55.5" hidden="1" customHeight="1">
      <c r="A40" s="906">
        <v>1</v>
      </c>
      <c r="B40" s="907" t="s">
        <v>513</v>
      </c>
      <c r="C40" s="906">
        <v>22</v>
      </c>
      <c r="D40" s="908" t="s">
        <v>1021</v>
      </c>
      <c r="E40" s="906">
        <v>2201</v>
      </c>
      <c r="F40" s="908" t="s">
        <v>379</v>
      </c>
      <c r="G40" s="909">
        <v>2201062</v>
      </c>
      <c r="H40" s="908" t="s">
        <v>1161</v>
      </c>
      <c r="I40" s="909">
        <v>220106200</v>
      </c>
      <c r="J40" s="908" t="s">
        <v>1162</v>
      </c>
      <c r="K40" s="910">
        <v>50</v>
      </c>
      <c r="L40" s="910"/>
      <c r="M40" s="128">
        <v>50</v>
      </c>
      <c r="N40" s="911">
        <v>2024003630036</v>
      </c>
      <c r="O40" s="907" t="s">
        <v>2667</v>
      </c>
      <c r="P40" s="912" t="s">
        <v>2680</v>
      </c>
      <c r="Q40" s="901">
        <v>1933080000</v>
      </c>
      <c r="R40" s="913">
        <v>378215548</v>
      </c>
      <c r="S40" s="914"/>
      <c r="T40" s="914"/>
      <c r="U40" s="328">
        <f t="shared" si="1"/>
        <v>1554864452</v>
      </c>
      <c r="V40" s="915" t="s">
        <v>2681</v>
      </c>
      <c r="W40" s="916">
        <v>4</v>
      </c>
      <c r="X40" s="916" t="s">
        <v>2285</v>
      </c>
      <c r="Y40" s="917"/>
      <c r="Z40" s="920"/>
      <c r="AA40" s="917">
        <v>99.058999999999997</v>
      </c>
      <c r="AB40" s="917">
        <v>36139</v>
      </c>
      <c r="AC40" s="917"/>
      <c r="AD40" s="917"/>
      <c r="AE40" s="917"/>
      <c r="AF40" s="917"/>
      <c r="AG40" s="917"/>
      <c r="AH40" s="917"/>
      <c r="AI40" s="917"/>
      <c r="AJ40" s="917"/>
      <c r="AK40" s="917"/>
      <c r="AL40" s="917"/>
      <c r="AM40" s="917"/>
      <c r="AN40" s="917">
        <v>135.19800000000001</v>
      </c>
      <c r="AO40" s="918">
        <v>46023</v>
      </c>
      <c r="AP40" s="918">
        <v>46387</v>
      </c>
      <c r="AQ40" s="919" t="s">
        <v>2605</v>
      </c>
      <c r="AR40" s="107"/>
      <c r="AS40" s="107"/>
      <c r="AT40" s="107"/>
      <c r="AU40" s="107"/>
      <c r="AV40" s="107"/>
      <c r="AW40" s="107"/>
      <c r="AX40" s="107"/>
      <c r="AY40" s="107"/>
      <c r="AZ40" s="107"/>
      <c r="BA40" s="107"/>
      <c r="BB40" s="107"/>
      <c r="BC40" s="107"/>
      <c r="BD40" s="107"/>
      <c r="BE40" s="107"/>
      <c r="BF40" s="107"/>
    </row>
    <row r="41" spans="1:58" s="16" customFormat="1" ht="55.5" hidden="1" customHeight="1">
      <c r="A41" s="906">
        <v>1</v>
      </c>
      <c r="B41" s="907" t="s">
        <v>513</v>
      </c>
      <c r="C41" s="906">
        <v>22</v>
      </c>
      <c r="D41" s="908" t="s">
        <v>1021</v>
      </c>
      <c r="E41" s="906">
        <v>2201</v>
      </c>
      <c r="F41" s="908" t="s">
        <v>379</v>
      </c>
      <c r="G41" s="909">
        <v>2201062</v>
      </c>
      <c r="H41" s="908" t="s">
        <v>1161</v>
      </c>
      <c r="I41" s="909">
        <v>220106200</v>
      </c>
      <c r="J41" s="908" t="s">
        <v>1162</v>
      </c>
      <c r="K41" s="910">
        <v>50</v>
      </c>
      <c r="L41" s="910"/>
      <c r="M41" s="128">
        <v>50</v>
      </c>
      <c r="N41" s="911">
        <v>2024003630036</v>
      </c>
      <c r="O41" s="907" t="s">
        <v>2667</v>
      </c>
      <c r="P41" s="912" t="s">
        <v>2682</v>
      </c>
      <c r="Q41" s="901">
        <v>228920000</v>
      </c>
      <c r="R41" s="913"/>
      <c r="S41" s="914"/>
      <c r="T41" s="914"/>
      <c r="U41" s="328">
        <f t="shared" si="1"/>
        <v>228920000</v>
      </c>
      <c r="V41" s="915" t="s">
        <v>2683</v>
      </c>
      <c r="W41" s="916">
        <v>4</v>
      </c>
      <c r="X41" s="916" t="s">
        <v>2285</v>
      </c>
      <c r="Y41" s="917"/>
      <c r="Z41" s="920"/>
      <c r="AA41" s="917">
        <v>99.058999999999997</v>
      </c>
      <c r="AB41" s="917">
        <v>36139</v>
      </c>
      <c r="AC41" s="917"/>
      <c r="AD41" s="917"/>
      <c r="AE41" s="917"/>
      <c r="AF41" s="917"/>
      <c r="AG41" s="917"/>
      <c r="AH41" s="917"/>
      <c r="AI41" s="917"/>
      <c r="AJ41" s="917"/>
      <c r="AK41" s="917"/>
      <c r="AL41" s="917"/>
      <c r="AM41" s="917"/>
      <c r="AN41" s="917">
        <v>135.19800000000001</v>
      </c>
      <c r="AO41" s="918">
        <v>46023</v>
      </c>
      <c r="AP41" s="918">
        <v>46387</v>
      </c>
      <c r="AQ41" s="919" t="s">
        <v>2605</v>
      </c>
      <c r="AR41" s="107"/>
      <c r="AS41" s="107"/>
      <c r="AT41" s="107"/>
      <c r="AU41" s="107"/>
      <c r="AV41" s="107"/>
      <c r="AW41" s="107"/>
      <c r="AX41" s="107"/>
      <c r="AY41" s="107"/>
      <c r="AZ41" s="107"/>
      <c r="BA41" s="107"/>
      <c r="BB41" s="107"/>
      <c r="BC41" s="107"/>
      <c r="BD41" s="107"/>
      <c r="BE41" s="107"/>
      <c r="BF41" s="107"/>
    </row>
    <row r="42" spans="1:58" s="16" customFormat="1" ht="55.5" hidden="1" customHeight="1">
      <c r="A42" s="906">
        <v>1</v>
      </c>
      <c r="B42" s="907" t="s">
        <v>513</v>
      </c>
      <c r="C42" s="906">
        <v>22</v>
      </c>
      <c r="D42" s="908" t="s">
        <v>1021</v>
      </c>
      <c r="E42" s="906">
        <v>2201</v>
      </c>
      <c r="F42" s="908" t="s">
        <v>379</v>
      </c>
      <c r="G42" s="909">
        <v>2201062</v>
      </c>
      <c r="H42" s="908" t="s">
        <v>1161</v>
      </c>
      <c r="I42" s="909">
        <v>220106200</v>
      </c>
      <c r="J42" s="908" t="s">
        <v>1162</v>
      </c>
      <c r="K42" s="910">
        <v>50</v>
      </c>
      <c r="L42" s="910"/>
      <c r="M42" s="128">
        <v>50</v>
      </c>
      <c r="N42" s="911">
        <v>2024003630036</v>
      </c>
      <c r="O42" s="907" t="s">
        <v>2667</v>
      </c>
      <c r="P42" s="912" t="s">
        <v>2684</v>
      </c>
      <c r="Q42" s="901">
        <v>200000000</v>
      </c>
      <c r="R42" s="913"/>
      <c r="S42" s="914"/>
      <c r="T42" s="914"/>
      <c r="U42" s="328">
        <f t="shared" si="1"/>
        <v>200000000</v>
      </c>
      <c r="V42" s="915" t="s">
        <v>2685</v>
      </c>
      <c r="W42" s="916">
        <v>4</v>
      </c>
      <c r="X42" s="916" t="s">
        <v>2285</v>
      </c>
      <c r="Y42" s="917"/>
      <c r="Z42" s="920"/>
      <c r="AA42" s="917">
        <v>99.058999999999997</v>
      </c>
      <c r="AB42" s="917">
        <v>36139</v>
      </c>
      <c r="AC42" s="917"/>
      <c r="AD42" s="917"/>
      <c r="AE42" s="917"/>
      <c r="AF42" s="917"/>
      <c r="AG42" s="917"/>
      <c r="AH42" s="917"/>
      <c r="AI42" s="917"/>
      <c r="AJ42" s="917"/>
      <c r="AK42" s="917"/>
      <c r="AL42" s="917"/>
      <c r="AM42" s="917"/>
      <c r="AN42" s="917">
        <v>135.19800000000001</v>
      </c>
      <c r="AO42" s="918">
        <v>46023</v>
      </c>
      <c r="AP42" s="918">
        <v>46387</v>
      </c>
      <c r="AQ42" s="919" t="s">
        <v>2605</v>
      </c>
      <c r="AR42" s="107"/>
      <c r="AS42" s="107"/>
      <c r="AT42" s="107"/>
      <c r="AU42" s="107"/>
      <c r="AV42" s="107"/>
      <c r="AW42" s="107"/>
      <c r="AX42" s="107"/>
      <c r="AY42" s="107"/>
      <c r="AZ42" s="107"/>
      <c r="BA42" s="107"/>
      <c r="BB42" s="107"/>
      <c r="BC42" s="107"/>
      <c r="BD42" s="107"/>
      <c r="BE42" s="107"/>
      <c r="BF42" s="107"/>
    </row>
    <row r="43" spans="1:58" s="16" customFormat="1" ht="55.5" hidden="1" customHeight="1">
      <c r="A43" s="906">
        <v>1</v>
      </c>
      <c r="B43" s="907" t="s">
        <v>513</v>
      </c>
      <c r="C43" s="906">
        <v>22</v>
      </c>
      <c r="D43" s="908" t="s">
        <v>1021</v>
      </c>
      <c r="E43" s="906">
        <v>2201</v>
      </c>
      <c r="F43" s="908" t="s">
        <v>379</v>
      </c>
      <c r="G43" s="909">
        <v>2201062</v>
      </c>
      <c r="H43" s="908" t="s">
        <v>1161</v>
      </c>
      <c r="I43" s="909">
        <v>220106200</v>
      </c>
      <c r="J43" s="908" t="s">
        <v>1162</v>
      </c>
      <c r="K43" s="910">
        <v>50</v>
      </c>
      <c r="L43" s="910"/>
      <c r="M43" s="128">
        <v>50</v>
      </c>
      <c r="N43" s="911">
        <v>2024003630036</v>
      </c>
      <c r="O43" s="907" t="s">
        <v>2667</v>
      </c>
      <c r="P43" s="912" t="s">
        <v>2686</v>
      </c>
      <c r="Q43" s="901">
        <v>10000000</v>
      </c>
      <c r="R43" s="913"/>
      <c r="S43" s="914"/>
      <c r="T43" s="914"/>
      <c r="U43" s="328">
        <f t="shared" si="1"/>
        <v>10000000</v>
      </c>
      <c r="V43" s="915" t="s">
        <v>2687</v>
      </c>
      <c r="W43" s="916">
        <v>20</v>
      </c>
      <c r="X43" s="916" t="s">
        <v>67</v>
      </c>
      <c r="Y43" s="917"/>
      <c r="Z43" s="920"/>
      <c r="AA43" s="917">
        <v>99.058999999999997</v>
      </c>
      <c r="AB43" s="917">
        <v>36139</v>
      </c>
      <c r="AC43" s="917"/>
      <c r="AD43" s="917"/>
      <c r="AE43" s="917"/>
      <c r="AF43" s="917"/>
      <c r="AG43" s="917"/>
      <c r="AH43" s="917"/>
      <c r="AI43" s="917"/>
      <c r="AJ43" s="917"/>
      <c r="AK43" s="917"/>
      <c r="AL43" s="917"/>
      <c r="AM43" s="917"/>
      <c r="AN43" s="917">
        <v>135.19800000000001</v>
      </c>
      <c r="AO43" s="918">
        <v>46023</v>
      </c>
      <c r="AP43" s="918">
        <v>46387</v>
      </c>
      <c r="AQ43" s="919" t="s">
        <v>2605</v>
      </c>
      <c r="AR43" s="107"/>
      <c r="AS43" s="107"/>
      <c r="AT43" s="107"/>
      <c r="AU43" s="107"/>
      <c r="AV43" s="107"/>
      <c r="AW43" s="107"/>
      <c r="AX43" s="107"/>
      <c r="AY43" s="107"/>
      <c r="AZ43" s="107"/>
      <c r="BA43" s="107"/>
      <c r="BB43" s="107"/>
      <c r="BC43" s="107"/>
      <c r="BD43" s="107"/>
      <c r="BE43" s="107"/>
      <c r="BF43" s="107"/>
    </row>
    <row r="44" spans="1:58" s="16" customFormat="1" ht="81" hidden="1">
      <c r="A44" s="906">
        <v>1</v>
      </c>
      <c r="B44" s="907" t="s">
        <v>513</v>
      </c>
      <c r="C44" s="906">
        <v>22</v>
      </c>
      <c r="D44" s="908" t="s">
        <v>1021</v>
      </c>
      <c r="E44" s="906">
        <v>2201</v>
      </c>
      <c r="F44" s="908" t="s">
        <v>379</v>
      </c>
      <c r="G44" s="909">
        <v>2201062</v>
      </c>
      <c r="H44" s="908" t="s">
        <v>1161</v>
      </c>
      <c r="I44" s="909">
        <v>220106200</v>
      </c>
      <c r="J44" s="908" t="s">
        <v>1162</v>
      </c>
      <c r="K44" s="910">
        <v>50</v>
      </c>
      <c r="L44" s="910"/>
      <c r="M44" s="128">
        <v>50</v>
      </c>
      <c r="N44" s="911">
        <v>2024003630036</v>
      </c>
      <c r="O44" s="907" t="s">
        <v>2667</v>
      </c>
      <c r="P44" s="912" t="s">
        <v>2688</v>
      </c>
      <c r="Q44" s="901">
        <f>333000000-Q46</f>
        <v>278000000</v>
      </c>
      <c r="R44" s="953">
        <f>1200000+8000000+5600000+4000000+2800000+5400000+4000000+12000000+6000000+6000000+6000000+12000000+9200000+2000000+7600000+6000000+9200000+6000000+8000000+10400000+1600000+2800000+16000000+14800000+12000000+3200000+10800000+14800000+14800000+6000000+6000000+2800000+6000000+10800000+6000000+9000000+2000000+1200000+4800000+16000000+16000000</f>
        <v>308800000</v>
      </c>
      <c r="S44" s="914"/>
      <c r="T44" s="914"/>
      <c r="U44" s="328">
        <f t="shared" si="1"/>
        <v>-30800000</v>
      </c>
      <c r="V44" s="915" t="s">
        <v>2683</v>
      </c>
      <c r="W44" s="916">
        <v>4</v>
      </c>
      <c r="X44" s="916" t="s">
        <v>2285</v>
      </c>
      <c r="Y44" s="917"/>
      <c r="Z44" s="920"/>
      <c r="AA44" s="917">
        <v>99.058999999999997</v>
      </c>
      <c r="AB44" s="917">
        <v>36139</v>
      </c>
      <c r="AC44" s="917"/>
      <c r="AD44" s="917"/>
      <c r="AE44" s="917"/>
      <c r="AF44" s="917"/>
      <c r="AG44" s="917"/>
      <c r="AH44" s="917"/>
      <c r="AI44" s="917"/>
      <c r="AJ44" s="917"/>
      <c r="AK44" s="917"/>
      <c r="AL44" s="917"/>
      <c r="AM44" s="917"/>
      <c r="AN44" s="917">
        <v>135.19800000000001</v>
      </c>
      <c r="AO44" s="918">
        <v>46023</v>
      </c>
      <c r="AP44" s="918">
        <v>46387</v>
      </c>
      <c r="AQ44" s="919" t="s">
        <v>2605</v>
      </c>
      <c r="AR44" s="107"/>
      <c r="AS44" s="107"/>
      <c r="AT44" s="107"/>
      <c r="AU44" s="107"/>
      <c r="AV44" s="107"/>
      <c r="AW44" s="107"/>
      <c r="AX44" s="107"/>
      <c r="AY44" s="107"/>
      <c r="AZ44" s="107"/>
      <c r="BA44" s="107"/>
      <c r="BB44" s="107"/>
      <c r="BC44" s="107"/>
      <c r="BD44" s="107"/>
      <c r="BE44" s="107"/>
      <c r="BF44" s="107"/>
    </row>
    <row r="45" spans="1:58" s="16" customFormat="1" ht="63.75" hidden="1">
      <c r="A45" s="906">
        <v>1</v>
      </c>
      <c r="B45" s="907" t="s">
        <v>513</v>
      </c>
      <c r="C45" s="906">
        <v>22</v>
      </c>
      <c r="D45" s="908" t="s">
        <v>1021</v>
      </c>
      <c r="E45" s="906">
        <v>2201</v>
      </c>
      <c r="F45" s="908" t="s">
        <v>379</v>
      </c>
      <c r="G45" s="909">
        <v>2201062</v>
      </c>
      <c r="H45" s="908" t="s">
        <v>1161</v>
      </c>
      <c r="I45" s="909">
        <v>220106200</v>
      </c>
      <c r="J45" s="908" t="s">
        <v>1162</v>
      </c>
      <c r="K45" s="910">
        <v>50</v>
      </c>
      <c r="L45" s="910"/>
      <c r="M45" s="128">
        <v>50</v>
      </c>
      <c r="N45" s="911">
        <v>2024003630036</v>
      </c>
      <c r="O45" s="907" t="s">
        <v>2667</v>
      </c>
      <c r="P45" s="912" t="s">
        <v>2689</v>
      </c>
      <c r="Q45" s="901">
        <v>10000000</v>
      </c>
      <c r="R45" s="913">
        <f>10000000</f>
        <v>10000000</v>
      </c>
      <c r="S45" s="914"/>
      <c r="T45" s="914"/>
      <c r="U45" s="328">
        <f t="shared" si="1"/>
        <v>0</v>
      </c>
      <c r="V45" s="915" t="s">
        <v>2690</v>
      </c>
      <c r="W45" s="916">
        <v>20</v>
      </c>
      <c r="X45" s="916" t="s">
        <v>67</v>
      </c>
      <c r="Y45" s="917"/>
      <c r="Z45" s="920"/>
      <c r="AA45" s="917">
        <v>99.058999999999997</v>
      </c>
      <c r="AB45" s="917">
        <v>36139</v>
      </c>
      <c r="AC45" s="917"/>
      <c r="AD45" s="917"/>
      <c r="AE45" s="917"/>
      <c r="AF45" s="917"/>
      <c r="AG45" s="917"/>
      <c r="AH45" s="917"/>
      <c r="AI45" s="917"/>
      <c r="AJ45" s="917"/>
      <c r="AK45" s="917"/>
      <c r="AL45" s="917"/>
      <c r="AM45" s="917"/>
      <c r="AN45" s="917">
        <v>135.19800000000001</v>
      </c>
      <c r="AO45" s="918">
        <v>46023</v>
      </c>
      <c r="AP45" s="918">
        <v>46387</v>
      </c>
      <c r="AQ45" s="919" t="s">
        <v>2605</v>
      </c>
      <c r="AR45" s="107"/>
      <c r="AS45" s="107"/>
      <c r="AT45" s="107"/>
      <c r="AU45" s="107"/>
      <c r="AV45" s="107"/>
      <c r="AW45" s="107"/>
      <c r="AX45" s="107"/>
      <c r="AY45" s="107"/>
      <c r="AZ45" s="107"/>
      <c r="BA45" s="107"/>
      <c r="BB45" s="107"/>
      <c r="BC45" s="107"/>
      <c r="BD45" s="107"/>
      <c r="BE45" s="107"/>
      <c r="BF45" s="107"/>
    </row>
    <row r="46" spans="1:58" s="16" customFormat="1" ht="65.25" hidden="1" customHeight="1">
      <c r="A46" s="906">
        <v>1</v>
      </c>
      <c r="B46" s="907" t="s">
        <v>513</v>
      </c>
      <c r="C46" s="906">
        <v>22</v>
      </c>
      <c r="D46" s="908" t="s">
        <v>1021</v>
      </c>
      <c r="E46" s="906">
        <v>2201</v>
      </c>
      <c r="F46" s="908" t="s">
        <v>379</v>
      </c>
      <c r="G46" s="909">
        <v>2201062</v>
      </c>
      <c r="H46" s="908" t="s">
        <v>1161</v>
      </c>
      <c r="I46" s="909">
        <v>220106200</v>
      </c>
      <c r="J46" s="908" t="s">
        <v>1162</v>
      </c>
      <c r="K46" s="910">
        <v>50</v>
      </c>
      <c r="L46" s="910"/>
      <c r="M46" s="128">
        <v>50</v>
      </c>
      <c r="N46" s="911">
        <v>2024003630036</v>
      </c>
      <c r="O46" s="907" t="s">
        <v>2667</v>
      </c>
      <c r="P46" s="912" t="s">
        <v>2691</v>
      </c>
      <c r="Q46" s="901">
        <v>55000000</v>
      </c>
      <c r="R46" s="913">
        <f>3600000+8800000+6800000+6800000+14800000+6800000+6800000+7400000</f>
        <v>61800000</v>
      </c>
      <c r="S46" s="914"/>
      <c r="T46" s="914"/>
      <c r="U46" s="328">
        <f t="shared" si="1"/>
        <v>-6800000</v>
      </c>
      <c r="V46" s="915" t="s">
        <v>2690</v>
      </c>
      <c r="W46" s="916">
        <v>20</v>
      </c>
      <c r="X46" s="916" t="s">
        <v>67</v>
      </c>
      <c r="Y46" s="917"/>
      <c r="Z46" s="920"/>
      <c r="AA46" s="917">
        <v>99.058999999999997</v>
      </c>
      <c r="AB46" s="917">
        <v>36139</v>
      </c>
      <c r="AC46" s="917"/>
      <c r="AD46" s="917"/>
      <c r="AE46" s="917"/>
      <c r="AF46" s="917"/>
      <c r="AG46" s="917"/>
      <c r="AH46" s="917"/>
      <c r="AI46" s="917"/>
      <c r="AJ46" s="917"/>
      <c r="AK46" s="917"/>
      <c r="AL46" s="917"/>
      <c r="AM46" s="917"/>
      <c r="AN46" s="917">
        <v>135.19800000000001</v>
      </c>
      <c r="AO46" s="918">
        <v>46023</v>
      </c>
      <c r="AP46" s="918">
        <v>46387</v>
      </c>
      <c r="AQ46" s="919" t="s">
        <v>2605</v>
      </c>
      <c r="AR46" s="107"/>
      <c r="AS46" s="107"/>
      <c r="AT46" s="107"/>
      <c r="AU46" s="107"/>
      <c r="AV46" s="107"/>
      <c r="AW46" s="107"/>
      <c r="AX46" s="107"/>
      <c r="AY46" s="107"/>
      <c r="AZ46" s="107"/>
      <c r="BA46" s="107"/>
      <c r="BB46" s="107"/>
      <c r="BC46" s="107"/>
      <c r="BD46" s="107"/>
      <c r="BE46" s="107"/>
      <c r="BF46" s="107"/>
    </row>
    <row r="47" spans="1:58" s="16" customFormat="1" ht="55.5" hidden="1" customHeight="1">
      <c r="A47" s="906">
        <v>3</v>
      </c>
      <c r="B47" s="907" t="s">
        <v>892</v>
      </c>
      <c r="C47" s="906">
        <v>24</v>
      </c>
      <c r="D47" s="908" t="s">
        <v>2450</v>
      </c>
      <c r="E47" s="906">
        <v>2402</v>
      </c>
      <c r="F47" s="908" t="s">
        <v>2304</v>
      </c>
      <c r="G47" s="909">
        <v>2402041</v>
      </c>
      <c r="H47" s="908" t="s">
        <v>2305</v>
      </c>
      <c r="I47" s="909">
        <v>240204100</v>
      </c>
      <c r="J47" s="908" t="s">
        <v>2305</v>
      </c>
      <c r="K47" s="922">
        <v>5.5</v>
      </c>
      <c r="L47" s="922"/>
      <c r="M47" s="332">
        <v>5.5</v>
      </c>
      <c r="N47" s="911">
        <v>2024003630039</v>
      </c>
      <c r="O47" s="907" t="s">
        <v>2692</v>
      </c>
      <c r="P47" s="912" t="s">
        <v>2693</v>
      </c>
      <c r="Q47" s="901">
        <v>800000000</v>
      </c>
      <c r="R47" s="913"/>
      <c r="S47" s="914"/>
      <c r="T47" s="914"/>
      <c r="U47" s="328">
        <f t="shared" si="1"/>
        <v>800000000</v>
      </c>
      <c r="V47" s="915" t="s">
        <v>2694</v>
      </c>
      <c r="W47" s="916">
        <v>20</v>
      </c>
      <c r="X47" s="916" t="s">
        <v>67</v>
      </c>
      <c r="Y47" s="917">
        <v>293304</v>
      </c>
      <c r="Z47" s="920">
        <v>272744</v>
      </c>
      <c r="AA47" s="917">
        <v>99059</v>
      </c>
      <c r="AB47" s="917">
        <v>36139</v>
      </c>
      <c r="AC47" s="917">
        <v>314186</v>
      </c>
      <c r="AD47" s="917">
        <v>116664</v>
      </c>
      <c r="AE47" s="917">
        <v>3247</v>
      </c>
      <c r="AF47" s="917">
        <v>6804</v>
      </c>
      <c r="AG47" s="917">
        <v>25</v>
      </c>
      <c r="AH47" s="917">
        <v>7</v>
      </c>
      <c r="AI47" s="917">
        <v>0</v>
      </c>
      <c r="AJ47" s="917">
        <v>0</v>
      </c>
      <c r="AK47" s="917">
        <v>50946</v>
      </c>
      <c r="AL47" s="917">
        <v>28554</v>
      </c>
      <c r="AM47" s="917">
        <v>53914</v>
      </c>
      <c r="AN47" s="917">
        <v>566048</v>
      </c>
      <c r="AO47" s="918">
        <v>46023</v>
      </c>
      <c r="AP47" s="918">
        <v>46387</v>
      </c>
      <c r="AQ47" s="919" t="s">
        <v>2605</v>
      </c>
      <c r="AR47" s="107"/>
      <c r="AS47" s="107"/>
      <c r="AT47" s="107"/>
      <c r="AU47" s="107"/>
      <c r="AV47" s="107"/>
      <c r="AW47" s="107"/>
      <c r="AX47" s="107"/>
      <c r="AY47" s="107"/>
      <c r="AZ47" s="107"/>
      <c r="BA47" s="107"/>
      <c r="BB47" s="107"/>
      <c r="BC47" s="107"/>
      <c r="BD47" s="107"/>
      <c r="BE47" s="107"/>
      <c r="BF47" s="107"/>
    </row>
    <row r="48" spans="1:58" s="16" customFormat="1" ht="81" hidden="1">
      <c r="A48" s="906">
        <v>3</v>
      </c>
      <c r="B48" s="907" t="s">
        <v>892</v>
      </c>
      <c r="C48" s="906">
        <v>24</v>
      </c>
      <c r="D48" s="908" t="s">
        <v>2450</v>
      </c>
      <c r="E48" s="906">
        <v>2402</v>
      </c>
      <c r="F48" s="908" t="s">
        <v>2304</v>
      </c>
      <c r="G48" s="909">
        <v>2402041</v>
      </c>
      <c r="H48" s="908" t="s">
        <v>2305</v>
      </c>
      <c r="I48" s="909">
        <v>240204100</v>
      </c>
      <c r="J48" s="908" t="s">
        <v>2305</v>
      </c>
      <c r="K48" s="922">
        <v>5.5</v>
      </c>
      <c r="L48" s="922"/>
      <c r="M48" s="332">
        <v>5.5</v>
      </c>
      <c r="N48" s="911">
        <v>2024003630039</v>
      </c>
      <c r="O48" s="907" t="s">
        <v>2692</v>
      </c>
      <c r="P48" s="912" t="s">
        <v>2695</v>
      </c>
      <c r="Q48" s="901">
        <v>290000000</v>
      </c>
      <c r="R48" s="953">
        <f>6000000+4000000+4000000+6000000+4000000+6800000+6000000+16000000+8000000+12000000+14800000+6800000+14800000+2600000+7400000+6800000+16000000+8600000</f>
        <v>150600000</v>
      </c>
      <c r="S48" s="914"/>
      <c r="T48" s="914"/>
      <c r="U48" s="328">
        <f t="shared" si="1"/>
        <v>139400000</v>
      </c>
      <c r="V48" s="915" t="s">
        <v>2696</v>
      </c>
      <c r="W48" s="916">
        <v>20</v>
      </c>
      <c r="X48" s="916" t="s">
        <v>67</v>
      </c>
      <c r="Y48" s="917">
        <v>293304</v>
      </c>
      <c r="Z48" s="920">
        <v>272744</v>
      </c>
      <c r="AA48" s="917">
        <v>99059</v>
      </c>
      <c r="AB48" s="917">
        <v>36139</v>
      </c>
      <c r="AC48" s="917">
        <v>314186</v>
      </c>
      <c r="AD48" s="917">
        <v>116664</v>
      </c>
      <c r="AE48" s="917">
        <v>3247</v>
      </c>
      <c r="AF48" s="917">
        <v>6804</v>
      </c>
      <c r="AG48" s="917">
        <v>25</v>
      </c>
      <c r="AH48" s="917">
        <v>7</v>
      </c>
      <c r="AI48" s="917">
        <v>0</v>
      </c>
      <c r="AJ48" s="917">
        <v>0</v>
      </c>
      <c r="AK48" s="917">
        <v>50946</v>
      </c>
      <c r="AL48" s="917">
        <v>28554</v>
      </c>
      <c r="AM48" s="917">
        <v>53914</v>
      </c>
      <c r="AN48" s="917">
        <v>566048</v>
      </c>
      <c r="AO48" s="918">
        <v>46023</v>
      </c>
      <c r="AP48" s="918">
        <v>46387</v>
      </c>
      <c r="AQ48" s="919" t="s">
        <v>2605</v>
      </c>
      <c r="AR48" s="107"/>
      <c r="AS48" s="107"/>
      <c r="AT48" s="107"/>
      <c r="AU48" s="107"/>
      <c r="AV48" s="107"/>
      <c r="AW48" s="107"/>
      <c r="AX48" s="107"/>
      <c r="AY48" s="107"/>
      <c r="AZ48" s="107"/>
      <c r="BA48" s="107"/>
      <c r="BB48" s="107"/>
      <c r="BC48" s="107"/>
      <c r="BD48" s="107"/>
      <c r="BE48" s="107"/>
      <c r="BF48" s="107"/>
    </row>
    <row r="49" spans="1:58" s="16" customFormat="1" ht="46.5" hidden="1" customHeight="1">
      <c r="A49" s="906">
        <v>3</v>
      </c>
      <c r="B49" s="907" t="s">
        <v>892</v>
      </c>
      <c r="C49" s="906">
        <v>24</v>
      </c>
      <c r="D49" s="908" t="s">
        <v>2450</v>
      </c>
      <c r="E49" s="906">
        <v>2402</v>
      </c>
      <c r="F49" s="908" t="s">
        <v>2304</v>
      </c>
      <c r="G49" s="909">
        <v>2402041</v>
      </c>
      <c r="H49" s="908" t="s">
        <v>2305</v>
      </c>
      <c r="I49" s="909">
        <v>240204100</v>
      </c>
      <c r="J49" s="908" t="s">
        <v>2305</v>
      </c>
      <c r="K49" s="922">
        <v>5.5</v>
      </c>
      <c r="L49" s="922"/>
      <c r="M49" s="332">
        <v>5.5</v>
      </c>
      <c r="N49" s="911">
        <v>2024003630039</v>
      </c>
      <c r="O49" s="907" t="s">
        <v>2692</v>
      </c>
      <c r="P49" s="912" t="s">
        <v>2697</v>
      </c>
      <c r="Q49" s="901">
        <v>10000000</v>
      </c>
      <c r="R49" s="913"/>
      <c r="S49" s="914"/>
      <c r="T49" s="914"/>
      <c r="U49" s="328">
        <f t="shared" si="1"/>
        <v>10000000</v>
      </c>
      <c r="V49" s="915" t="s">
        <v>2696</v>
      </c>
      <c r="W49" s="916">
        <v>20</v>
      </c>
      <c r="X49" s="916" t="s">
        <v>67</v>
      </c>
      <c r="Y49" s="917">
        <v>293304</v>
      </c>
      <c r="Z49" s="920">
        <v>272744</v>
      </c>
      <c r="AA49" s="917">
        <v>99059</v>
      </c>
      <c r="AB49" s="917">
        <v>36139</v>
      </c>
      <c r="AC49" s="917">
        <v>314186</v>
      </c>
      <c r="AD49" s="917">
        <v>116664</v>
      </c>
      <c r="AE49" s="917">
        <v>3247</v>
      </c>
      <c r="AF49" s="917">
        <v>6804</v>
      </c>
      <c r="AG49" s="917">
        <v>25</v>
      </c>
      <c r="AH49" s="917">
        <v>7</v>
      </c>
      <c r="AI49" s="917">
        <v>0</v>
      </c>
      <c r="AJ49" s="917">
        <v>0</v>
      </c>
      <c r="AK49" s="917">
        <v>50946</v>
      </c>
      <c r="AL49" s="917">
        <v>28554</v>
      </c>
      <c r="AM49" s="917">
        <v>53914</v>
      </c>
      <c r="AN49" s="917">
        <v>566048</v>
      </c>
      <c r="AO49" s="918">
        <v>46023</v>
      </c>
      <c r="AP49" s="918">
        <v>46387</v>
      </c>
      <c r="AQ49" s="919" t="s">
        <v>2605</v>
      </c>
      <c r="AR49" s="107"/>
      <c r="AS49" s="107"/>
      <c r="AT49" s="107"/>
      <c r="AU49" s="107"/>
      <c r="AV49" s="107"/>
      <c r="AW49" s="107"/>
      <c r="AX49" s="107"/>
      <c r="AY49" s="107"/>
      <c r="AZ49" s="107"/>
      <c r="BA49" s="107"/>
      <c r="BB49" s="107"/>
      <c r="BC49" s="107"/>
      <c r="BD49" s="107"/>
      <c r="BE49" s="107"/>
      <c r="BF49" s="107"/>
    </row>
    <row r="50" spans="1:58" s="16" customFormat="1" ht="55.5" hidden="1" customHeight="1">
      <c r="A50" s="906">
        <v>3</v>
      </c>
      <c r="B50" s="907" t="s">
        <v>892</v>
      </c>
      <c r="C50" s="906">
        <v>24</v>
      </c>
      <c r="D50" s="908" t="s">
        <v>2450</v>
      </c>
      <c r="E50" s="906">
        <v>2402</v>
      </c>
      <c r="F50" s="908" t="s">
        <v>2304</v>
      </c>
      <c r="G50" s="909">
        <v>2402041</v>
      </c>
      <c r="H50" s="908" t="s">
        <v>2305</v>
      </c>
      <c r="I50" s="909">
        <v>240204100</v>
      </c>
      <c r="J50" s="908" t="s">
        <v>2305</v>
      </c>
      <c r="K50" s="922">
        <v>5.5</v>
      </c>
      <c r="L50" s="922"/>
      <c r="M50" s="332">
        <v>5.5</v>
      </c>
      <c r="N50" s="911">
        <v>2024003630039</v>
      </c>
      <c r="O50" s="907" t="s">
        <v>2692</v>
      </c>
      <c r="P50" s="912" t="s">
        <v>2698</v>
      </c>
      <c r="Q50" s="901">
        <v>400000000</v>
      </c>
      <c r="R50" s="913"/>
      <c r="S50" s="914"/>
      <c r="T50" s="914"/>
      <c r="U50" s="328">
        <f t="shared" si="1"/>
        <v>400000000</v>
      </c>
      <c r="V50" s="915" t="s">
        <v>2699</v>
      </c>
      <c r="W50" s="916">
        <v>20</v>
      </c>
      <c r="X50" s="916" t="s">
        <v>67</v>
      </c>
      <c r="Y50" s="917">
        <v>293304</v>
      </c>
      <c r="Z50" s="920">
        <v>272744</v>
      </c>
      <c r="AA50" s="917">
        <v>99059</v>
      </c>
      <c r="AB50" s="917">
        <v>36139</v>
      </c>
      <c r="AC50" s="917">
        <v>314186</v>
      </c>
      <c r="AD50" s="917">
        <v>116664</v>
      </c>
      <c r="AE50" s="917">
        <v>3247</v>
      </c>
      <c r="AF50" s="917">
        <v>6804</v>
      </c>
      <c r="AG50" s="917">
        <v>25</v>
      </c>
      <c r="AH50" s="917">
        <v>7</v>
      </c>
      <c r="AI50" s="917">
        <v>0</v>
      </c>
      <c r="AJ50" s="917">
        <v>0</v>
      </c>
      <c r="AK50" s="917">
        <v>50946</v>
      </c>
      <c r="AL50" s="917">
        <v>28554</v>
      </c>
      <c r="AM50" s="917">
        <v>53914</v>
      </c>
      <c r="AN50" s="917">
        <v>566048</v>
      </c>
      <c r="AO50" s="918">
        <v>46023</v>
      </c>
      <c r="AP50" s="918">
        <v>46387</v>
      </c>
      <c r="AQ50" s="919" t="s">
        <v>2605</v>
      </c>
      <c r="AR50" s="107"/>
      <c r="AS50" s="107"/>
      <c r="AT50" s="107"/>
      <c r="AU50" s="107"/>
      <c r="AV50" s="107"/>
      <c r="AW50" s="107"/>
      <c r="AX50" s="107"/>
      <c r="AY50" s="107"/>
      <c r="AZ50" s="107"/>
      <c r="BA50" s="107"/>
      <c r="BB50" s="107"/>
      <c r="BC50" s="107"/>
      <c r="BD50" s="107"/>
      <c r="BE50" s="107"/>
      <c r="BF50" s="107"/>
    </row>
    <row r="51" spans="1:58" s="16" customFormat="1" ht="55.5" hidden="1" customHeight="1">
      <c r="A51" s="906">
        <v>3</v>
      </c>
      <c r="B51" s="907" t="s">
        <v>892</v>
      </c>
      <c r="C51" s="906">
        <v>24</v>
      </c>
      <c r="D51" s="908" t="s">
        <v>2450</v>
      </c>
      <c r="E51" s="906">
        <v>2402</v>
      </c>
      <c r="F51" s="908" t="s">
        <v>2304</v>
      </c>
      <c r="G51" s="909">
        <v>2402112</v>
      </c>
      <c r="H51" s="908" t="s">
        <v>2700</v>
      </c>
      <c r="I51" s="909">
        <v>240211200</v>
      </c>
      <c r="J51" s="908" t="s">
        <v>2701</v>
      </c>
      <c r="K51" s="910">
        <v>250</v>
      </c>
      <c r="L51" s="910"/>
      <c r="M51" s="128">
        <v>250</v>
      </c>
      <c r="N51" s="911">
        <v>2024003630039</v>
      </c>
      <c r="O51" s="907" t="s">
        <v>2692</v>
      </c>
      <c r="P51" s="912" t="s">
        <v>2702</v>
      </c>
      <c r="Q51" s="901">
        <v>677661057.04999995</v>
      </c>
      <c r="R51" s="913"/>
      <c r="S51" s="914"/>
      <c r="T51" s="914"/>
      <c r="U51" s="328">
        <f t="shared" si="1"/>
        <v>677661057.04999995</v>
      </c>
      <c r="V51" s="915" t="s">
        <v>2703</v>
      </c>
      <c r="W51" s="916">
        <v>20</v>
      </c>
      <c r="X51" s="916" t="s">
        <v>67</v>
      </c>
      <c r="Y51" s="917">
        <v>293304</v>
      </c>
      <c r="Z51" s="920">
        <v>272744</v>
      </c>
      <c r="AA51" s="917">
        <v>99059</v>
      </c>
      <c r="AB51" s="917">
        <v>36139</v>
      </c>
      <c r="AC51" s="917">
        <v>314186</v>
      </c>
      <c r="AD51" s="917">
        <v>116664</v>
      </c>
      <c r="AE51" s="917">
        <v>3247</v>
      </c>
      <c r="AF51" s="917">
        <v>6804</v>
      </c>
      <c r="AG51" s="917">
        <v>25</v>
      </c>
      <c r="AH51" s="917">
        <v>7</v>
      </c>
      <c r="AI51" s="917">
        <v>0</v>
      </c>
      <c r="AJ51" s="917">
        <v>0</v>
      </c>
      <c r="AK51" s="917">
        <v>50946</v>
      </c>
      <c r="AL51" s="917">
        <v>28554</v>
      </c>
      <c r="AM51" s="917">
        <v>53914</v>
      </c>
      <c r="AN51" s="917">
        <v>566048</v>
      </c>
      <c r="AO51" s="918">
        <v>46023</v>
      </c>
      <c r="AP51" s="918">
        <v>46387</v>
      </c>
      <c r="AQ51" s="919" t="s">
        <v>2605</v>
      </c>
      <c r="AR51" s="107"/>
      <c r="AS51" s="107"/>
      <c r="AT51" s="107"/>
      <c r="AU51" s="107"/>
      <c r="AV51" s="107"/>
      <c r="AW51" s="107"/>
      <c r="AX51" s="107"/>
      <c r="AY51" s="107"/>
      <c r="AZ51" s="107"/>
      <c r="BA51" s="107"/>
      <c r="BB51" s="107"/>
      <c r="BC51" s="107"/>
      <c r="BD51" s="107"/>
      <c r="BE51" s="107"/>
      <c r="BF51" s="107"/>
    </row>
    <row r="52" spans="1:58" s="16" customFormat="1" ht="55.5" hidden="1" customHeight="1">
      <c r="A52" s="906">
        <v>3</v>
      </c>
      <c r="B52" s="907" t="s">
        <v>892</v>
      </c>
      <c r="C52" s="906">
        <v>24</v>
      </c>
      <c r="D52" s="908" t="s">
        <v>2450</v>
      </c>
      <c r="E52" s="906">
        <v>2402</v>
      </c>
      <c r="F52" s="908" t="s">
        <v>2304</v>
      </c>
      <c r="G52" s="909">
        <v>2402112</v>
      </c>
      <c r="H52" s="908" t="s">
        <v>2700</v>
      </c>
      <c r="I52" s="909">
        <v>240211200</v>
      </c>
      <c r="J52" s="908" t="s">
        <v>2701</v>
      </c>
      <c r="K52" s="910">
        <v>250</v>
      </c>
      <c r="L52" s="910"/>
      <c r="M52" s="128">
        <v>250</v>
      </c>
      <c r="N52" s="911">
        <v>2024003630039</v>
      </c>
      <c r="O52" s="907" t="s">
        <v>2692</v>
      </c>
      <c r="P52" s="912" t="s">
        <v>2704</v>
      </c>
      <c r="Q52" s="901">
        <v>1000000000</v>
      </c>
      <c r="R52" s="913"/>
      <c r="S52" s="914"/>
      <c r="T52" s="914"/>
      <c r="U52" s="328">
        <f t="shared" si="1"/>
        <v>1000000000</v>
      </c>
      <c r="V52" s="915" t="s">
        <v>2705</v>
      </c>
      <c r="W52" s="916">
        <v>20</v>
      </c>
      <c r="X52" s="916" t="s">
        <v>67</v>
      </c>
      <c r="Y52" s="917">
        <v>293304</v>
      </c>
      <c r="Z52" s="920">
        <v>272744</v>
      </c>
      <c r="AA52" s="917">
        <v>99059</v>
      </c>
      <c r="AB52" s="917">
        <v>36139</v>
      </c>
      <c r="AC52" s="917">
        <v>314186</v>
      </c>
      <c r="AD52" s="917">
        <v>116664</v>
      </c>
      <c r="AE52" s="917">
        <v>3247</v>
      </c>
      <c r="AF52" s="917">
        <v>6804</v>
      </c>
      <c r="AG52" s="917">
        <v>25</v>
      </c>
      <c r="AH52" s="917">
        <v>7</v>
      </c>
      <c r="AI52" s="917">
        <v>0</v>
      </c>
      <c r="AJ52" s="917">
        <v>0</v>
      </c>
      <c r="AK52" s="917">
        <v>50946</v>
      </c>
      <c r="AL52" s="917">
        <v>28554</v>
      </c>
      <c r="AM52" s="917">
        <v>53914</v>
      </c>
      <c r="AN52" s="917">
        <v>566048</v>
      </c>
      <c r="AO52" s="918">
        <v>46023</v>
      </c>
      <c r="AP52" s="918">
        <v>46387</v>
      </c>
      <c r="AQ52" s="919" t="s">
        <v>2605</v>
      </c>
      <c r="AR52" s="107"/>
      <c r="AS52" s="107"/>
      <c r="AT52" s="107"/>
      <c r="AU52" s="107"/>
      <c r="AV52" s="107"/>
      <c r="AW52" s="107"/>
      <c r="AX52" s="107"/>
      <c r="AY52" s="107"/>
      <c r="AZ52" s="107"/>
      <c r="BA52" s="107"/>
      <c r="BB52" s="107"/>
      <c r="BC52" s="107"/>
      <c r="BD52" s="107"/>
      <c r="BE52" s="107"/>
      <c r="BF52" s="107"/>
    </row>
    <row r="53" spans="1:58" s="16" customFormat="1" ht="95.25" hidden="1" customHeight="1">
      <c r="A53" s="906">
        <v>3</v>
      </c>
      <c r="B53" s="907" t="s">
        <v>892</v>
      </c>
      <c r="C53" s="906">
        <v>24</v>
      </c>
      <c r="D53" s="908" t="s">
        <v>2450</v>
      </c>
      <c r="E53" s="906">
        <v>2402</v>
      </c>
      <c r="F53" s="908" t="s">
        <v>2304</v>
      </c>
      <c r="G53" s="909">
        <v>2402112</v>
      </c>
      <c r="H53" s="908" t="s">
        <v>2700</v>
      </c>
      <c r="I53" s="909">
        <v>240211200</v>
      </c>
      <c r="J53" s="908" t="s">
        <v>2701</v>
      </c>
      <c r="K53" s="910">
        <v>250</v>
      </c>
      <c r="L53" s="910"/>
      <c r="M53" s="128">
        <v>250</v>
      </c>
      <c r="N53" s="911">
        <v>2024003630039</v>
      </c>
      <c r="O53" s="907" t="s">
        <v>2692</v>
      </c>
      <c r="P53" s="912" t="s">
        <v>2706</v>
      </c>
      <c r="Q53" s="901">
        <v>590000000</v>
      </c>
      <c r="R53" s="953">
        <f>6000000+5200000+6000000+5200000+14800000+8000000+14800000+16000000+4000000+6000000+12000000+14800000+8000000+4000000+4000000+6000000+13200000+13200000+14800000+14000000+14800000+12800000+13200000+10000000+8000000+14800000+14800000+4800000+13200000+14800000+12000000+16000000+4000000+13200000+14800000+2000000+9000000+12000000+4000000+14800000+12800000+12800000</f>
        <v>438600000</v>
      </c>
      <c r="S53" s="914"/>
      <c r="T53" s="914"/>
      <c r="U53" s="328">
        <f t="shared" si="1"/>
        <v>151400000</v>
      </c>
      <c r="V53" s="915" t="s">
        <v>2707</v>
      </c>
      <c r="W53" s="916">
        <v>20</v>
      </c>
      <c r="X53" s="916" t="s">
        <v>67</v>
      </c>
      <c r="Y53" s="917">
        <v>293304</v>
      </c>
      <c r="Z53" s="920">
        <v>272744</v>
      </c>
      <c r="AA53" s="917">
        <v>99059</v>
      </c>
      <c r="AB53" s="917">
        <v>36139</v>
      </c>
      <c r="AC53" s="917">
        <v>314186</v>
      </c>
      <c r="AD53" s="917">
        <v>116664</v>
      </c>
      <c r="AE53" s="917">
        <v>3247</v>
      </c>
      <c r="AF53" s="917">
        <v>6804</v>
      </c>
      <c r="AG53" s="917">
        <v>25</v>
      </c>
      <c r="AH53" s="917">
        <v>7</v>
      </c>
      <c r="AI53" s="917">
        <v>0</v>
      </c>
      <c r="AJ53" s="917">
        <v>0</v>
      </c>
      <c r="AK53" s="917">
        <v>50946</v>
      </c>
      <c r="AL53" s="917">
        <v>28554</v>
      </c>
      <c r="AM53" s="917">
        <v>53914</v>
      </c>
      <c r="AN53" s="917">
        <v>566048</v>
      </c>
      <c r="AO53" s="918">
        <v>46023</v>
      </c>
      <c r="AP53" s="918">
        <v>46387</v>
      </c>
      <c r="AQ53" s="919" t="s">
        <v>2605</v>
      </c>
      <c r="AR53" s="107"/>
      <c r="AS53" s="107"/>
      <c r="AT53" s="107"/>
      <c r="AU53" s="107"/>
      <c r="AV53" s="107"/>
      <c r="AW53" s="107"/>
      <c r="AX53" s="107"/>
      <c r="AY53" s="107"/>
      <c r="AZ53" s="107"/>
      <c r="BA53" s="107"/>
      <c r="BB53" s="107"/>
      <c r="BC53" s="107"/>
      <c r="BD53" s="107"/>
      <c r="BE53" s="107"/>
      <c r="BF53" s="107"/>
    </row>
    <row r="54" spans="1:58" s="16" customFormat="1" ht="95.25" hidden="1" customHeight="1">
      <c r="A54" s="906">
        <v>3</v>
      </c>
      <c r="B54" s="907" t="s">
        <v>892</v>
      </c>
      <c r="C54" s="906">
        <v>24</v>
      </c>
      <c r="D54" s="908" t="s">
        <v>2450</v>
      </c>
      <c r="E54" s="906">
        <v>2402</v>
      </c>
      <c r="F54" s="908" t="s">
        <v>2304</v>
      </c>
      <c r="G54" s="909">
        <v>2402112</v>
      </c>
      <c r="H54" s="908" t="s">
        <v>2700</v>
      </c>
      <c r="I54" s="909">
        <v>240211200</v>
      </c>
      <c r="J54" s="908" t="s">
        <v>2701</v>
      </c>
      <c r="K54" s="910">
        <v>250</v>
      </c>
      <c r="L54" s="910"/>
      <c r="M54" s="128">
        <v>250</v>
      </c>
      <c r="N54" s="911">
        <v>2024003630039</v>
      </c>
      <c r="O54" s="907" t="s">
        <v>2692</v>
      </c>
      <c r="P54" s="912" t="s">
        <v>2708</v>
      </c>
      <c r="Q54" s="901">
        <v>10000000</v>
      </c>
      <c r="R54" s="953">
        <f>10000000</f>
        <v>10000000</v>
      </c>
      <c r="S54" s="914"/>
      <c r="T54" s="914"/>
      <c r="U54" s="328">
        <f t="shared" si="1"/>
        <v>0</v>
      </c>
      <c r="V54" s="915" t="s">
        <v>2707</v>
      </c>
      <c r="W54" s="916">
        <v>20</v>
      </c>
      <c r="X54" s="916" t="s">
        <v>67</v>
      </c>
      <c r="Y54" s="917">
        <v>293304</v>
      </c>
      <c r="Z54" s="920">
        <v>272744</v>
      </c>
      <c r="AA54" s="917">
        <v>99059</v>
      </c>
      <c r="AB54" s="917">
        <v>36139</v>
      </c>
      <c r="AC54" s="917">
        <v>314186</v>
      </c>
      <c r="AD54" s="917">
        <v>116664</v>
      </c>
      <c r="AE54" s="917">
        <v>3247</v>
      </c>
      <c r="AF54" s="917">
        <v>6804</v>
      </c>
      <c r="AG54" s="917">
        <v>25</v>
      </c>
      <c r="AH54" s="917">
        <v>7</v>
      </c>
      <c r="AI54" s="917">
        <v>0</v>
      </c>
      <c r="AJ54" s="917">
        <v>0</v>
      </c>
      <c r="AK54" s="917">
        <v>50946</v>
      </c>
      <c r="AL54" s="917">
        <v>28554</v>
      </c>
      <c r="AM54" s="917">
        <v>53914</v>
      </c>
      <c r="AN54" s="917">
        <v>566048</v>
      </c>
      <c r="AO54" s="918">
        <v>46023</v>
      </c>
      <c r="AP54" s="918">
        <v>46387</v>
      </c>
      <c r="AQ54" s="919" t="s">
        <v>2605</v>
      </c>
      <c r="AR54" s="107"/>
      <c r="AS54" s="107"/>
      <c r="AT54" s="107"/>
      <c r="AU54" s="107"/>
      <c r="AV54" s="107"/>
      <c r="AW54" s="107"/>
      <c r="AX54" s="107"/>
      <c r="AY54" s="107"/>
      <c r="AZ54" s="107"/>
      <c r="BA54" s="107"/>
      <c r="BB54" s="107"/>
      <c r="BC54" s="107"/>
      <c r="BD54" s="107"/>
      <c r="BE54" s="107"/>
      <c r="BF54" s="107"/>
    </row>
    <row r="55" spans="1:58" s="16" customFormat="1" ht="55.5" hidden="1" customHeight="1">
      <c r="A55" s="906">
        <v>3</v>
      </c>
      <c r="B55" s="907" t="s">
        <v>892</v>
      </c>
      <c r="C55" s="906">
        <v>24</v>
      </c>
      <c r="D55" s="908" t="s">
        <v>2450</v>
      </c>
      <c r="E55" s="906">
        <v>2402</v>
      </c>
      <c r="F55" s="908" t="s">
        <v>2304</v>
      </c>
      <c r="G55" s="909">
        <v>2402112</v>
      </c>
      <c r="H55" s="908" t="s">
        <v>2700</v>
      </c>
      <c r="I55" s="909">
        <v>240211200</v>
      </c>
      <c r="J55" s="908" t="s">
        <v>2701</v>
      </c>
      <c r="K55" s="910">
        <v>250</v>
      </c>
      <c r="L55" s="910"/>
      <c r="M55" s="128">
        <v>250</v>
      </c>
      <c r="N55" s="911">
        <v>2024003630039</v>
      </c>
      <c r="O55" s="907" t="s">
        <v>2692</v>
      </c>
      <c r="P55" s="912" t="s">
        <v>2709</v>
      </c>
      <c r="Q55" s="901">
        <v>200000000</v>
      </c>
      <c r="R55" s="913"/>
      <c r="S55" s="914"/>
      <c r="T55" s="914"/>
      <c r="U55" s="328">
        <f t="shared" si="1"/>
        <v>200000000</v>
      </c>
      <c r="V55" s="915" t="s">
        <v>2710</v>
      </c>
      <c r="W55" s="916">
        <v>20</v>
      </c>
      <c r="X55" s="916" t="s">
        <v>67</v>
      </c>
      <c r="Y55" s="917">
        <v>293304</v>
      </c>
      <c r="Z55" s="920">
        <v>272744</v>
      </c>
      <c r="AA55" s="917">
        <v>99059</v>
      </c>
      <c r="AB55" s="917">
        <v>36139</v>
      </c>
      <c r="AC55" s="917">
        <v>314186</v>
      </c>
      <c r="AD55" s="917">
        <v>116664</v>
      </c>
      <c r="AE55" s="917">
        <v>3247</v>
      </c>
      <c r="AF55" s="917">
        <v>6804</v>
      </c>
      <c r="AG55" s="917">
        <v>25</v>
      </c>
      <c r="AH55" s="917">
        <v>7</v>
      </c>
      <c r="AI55" s="917">
        <v>0</v>
      </c>
      <c r="AJ55" s="917">
        <v>0</v>
      </c>
      <c r="AK55" s="917">
        <v>50946</v>
      </c>
      <c r="AL55" s="917">
        <v>28554</v>
      </c>
      <c r="AM55" s="917">
        <v>53914</v>
      </c>
      <c r="AN55" s="917">
        <v>566048</v>
      </c>
      <c r="AO55" s="918">
        <v>46023</v>
      </c>
      <c r="AP55" s="918">
        <v>46387</v>
      </c>
      <c r="AQ55" s="919" t="s">
        <v>2605</v>
      </c>
      <c r="AR55" s="107"/>
      <c r="AS55" s="107"/>
      <c r="AT55" s="107"/>
      <c r="AU55" s="107"/>
      <c r="AV55" s="107"/>
      <c r="AW55" s="107"/>
      <c r="AX55" s="107"/>
      <c r="AY55" s="107"/>
      <c r="AZ55" s="107"/>
      <c r="BA55" s="107"/>
      <c r="BB55" s="107"/>
      <c r="BC55" s="107"/>
      <c r="BD55" s="107"/>
      <c r="BE55" s="107"/>
      <c r="BF55" s="107"/>
    </row>
    <row r="56" spans="1:58" s="16" customFormat="1" ht="55.5" hidden="1" customHeight="1">
      <c r="A56" s="906">
        <v>3</v>
      </c>
      <c r="B56" s="907" t="s">
        <v>892</v>
      </c>
      <c r="C56" s="906">
        <v>24</v>
      </c>
      <c r="D56" s="908" t="s">
        <v>2450</v>
      </c>
      <c r="E56" s="906">
        <v>2402</v>
      </c>
      <c r="F56" s="908" t="s">
        <v>2304</v>
      </c>
      <c r="G56" s="909">
        <v>2402112</v>
      </c>
      <c r="H56" s="908" t="s">
        <v>2700</v>
      </c>
      <c r="I56" s="909">
        <v>240211200</v>
      </c>
      <c r="J56" s="908" t="s">
        <v>2701</v>
      </c>
      <c r="K56" s="910">
        <v>250</v>
      </c>
      <c r="L56" s="910"/>
      <c r="M56" s="128">
        <v>250</v>
      </c>
      <c r="N56" s="911">
        <v>2024003630039</v>
      </c>
      <c r="O56" s="907" t="s">
        <v>2692</v>
      </c>
      <c r="P56" s="912" t="s">
        <v>2711</v>
      </c>
      <c r="Q56" s="901">
        <v>590000000</v>
      </c>
      <c r="R56" s="913"/>
      <c r="S56" s="914"/>
      <c r="T56" s="914"/>
      <c r="U56" s="328">
        <f t="shared" si="1"/>
        <v>590000000</v>
      </c>
      <c r="V56" s="915" t="s">
        <v>2712</v>
      </c>
      <c r="W56" s="916">
        <v>20</v>
      </c>
      <c r="X56" s="916" t="s">
        <v>67</v>
      </c>
      <c r="Y56" s="917">
        <v>293304</v>
      </c>
      <c r="Z56" s="920">
        <v>272744</v>
      </c>
      <c r="AA56" s="917">
        <v>99059</v>
      </c>
      <c r="AB56" s="917">
        <v>36139</v>
      </c>
      <c r="AC56" s="917">
        <v>314186</v>
      </c>
      <c r="AD56" s="917">
        <v>116664</v>
      </c>
      <c r="AE56" s="917">
        <v>3247</v>
      </c>
      <c r="AF56" s="917">
        <v>6804</v>
      </c>
      <c r="AG56" s="917">
        <v>25</v>
      </c>
      <c r="AH56" s="917">
        <v>7</v>
      </c>
      <c r="AI56" s="917">
        <v>0</v>
      </c>
      <c r="AJ56" s="917">
        <v>0</v>
      </c>
      <c r="AK56" s="917">
        <v>50946</v>
      </c>
      <c r="AL56" s="917">
        <v>28554</v>
      </c>
      <c r="AM56" s="917">
        <v>53914</v>
      </c>
      <c r="AN56" s="917">
        <v>566048</v>
      </c>
      <c r="AO56" s="918">
        <v>46023</v>
      </c>
      <c r="AP56" s="918">
        <v>46387</v>
      </c>
      <c r="AQ56" s="919" t="s">
        <v>2605</v>
      </c>
      <c r="AR56" s="107"/>
      <c r="AS56" s="107"/>
      <c r="AT56" s="107"/>
      <c r="AU56" s="107"/>
      <c r="AV56" s="107"/>
      <c r="AW56" s="107"/>
      <c r="AX56" s="107"/>
      <c r="AY56" s="107"/>
      <c r="AZ56" s="107"/>
      <c r="BA56" s="107"/>
      <c r="BB56" s="107"/>
      <c r="BC56" s="107"/>
      <c r="BD56" s="107"/>
      <c r="BE56" s="107"/>
      <c r="BF56" s="107"/>
    </row>
    <row r="57" spans="1:58" s="16" customFormat="1" ht="65.25" hidden="1" customHeight="1">
      <c r="A57" s="906">
        <v>3</v>
      </c>
      <c r="B57" s="907" t="s">
        <v>892</v>
      </c>
      <c r="C57" s="906">
        <v>24</v>
      </c>
      <c r="D57" s="908" t="s">
        <v>2450</v>
      </c>
      <c r="E57" s="906">
        <v>2402</v>
      </c>
      <c r="F57" s="908" t="s">
        <v>2304</v>
      </c>
      <c r="G57" s="909">
        <v>2402112</v>
      </c>
      <c r="H57" s="908" t="s">
        <v>2700</v>
      </c>
      <c r="I57" s="909">
        <v>240211200</v>
      </c>
      <c r="J57" s="908" t="s">
        <v>2701</v>
      </c>
      <c r="K57" s="910">
        <v>250</v>
      </c>
      <c r="L57" s="910"/>
      <c r="M57" s="128">
        <v>250</v>
      </c>
      <c r="N57" s="911">
        <v>2024003630039</v>
      </c>
      <c r="O57" s="907" t="s">
        <v>2692</v>
      </c>
      <c r="P57" s="912" t="s">
        <v>2713</v>
      </c>
      <c r="Q57" s="901">
        <v>10000000</v>
      </c>
      <c r="R57" s="913"/>
      <c r="S57" s="914"/>
      <c r="T57" s="914"/>
      <c r="U57" s="328">
        <f t="shared" si="1"/>
        <v>10000000</v>
      </c>
      <c r="V57" s="915" t="s">
        <v>2712</v>
      </c>
      <c r="W57" s="916">
        <v>20</v>
      </c>
      <c r="X57" s="916" t="s">
        <v>67</v>
      </c>
      <c r="Y57" s="917">
        <v>293304</v>
      </c>
      <c r="Z57" s="920">
        <v>272744</v>
      </c>
      <c r="AA57" s="917">
        <v>99059</v>
      </c>
      <c r="AB57" s="917">
        <v>36139</v>
      </c>
      <c r="AC57" s="917">
        <v>314186</v>
      </c>
      <c r="AD57" s="917">
        <v>116664</v>
      </c>
      <c r="AE57" s="917">
        <v>3247</v>
      </c>
      <c r="AF57" s="917">
        <v>6804</v>
      </c>
      <c r="AG57" s="917">
        <v>25</v>
      </c>
      <c r="AH57" s="917">
        <v>7</v>
      </c>
      <c r="AI57" s="917">
        <v>0</v>
      </c>
      <c r="AJ57" s="917">
        <v>0</v>
      </c>
      <c r="AK57" s="917">
        <v>50946</v>
      </c>
      <c r="AL57" s="917">
        <v>28554</v>
      </c>
      <c r="AM57" s="917">
        <v>53914</v>
      </c>
      <c r="AN57" s="917">
        <v>566048</v>
      </c>
      <c r="AO57" s="918">
        <v>46023</v>
      </c>
      <c r="AP57" s="918">
        <v>46387</v>
      </c>
      <c r="AQ57" s="919" t="s">
        <v>2605</v>
      </c>
      <c r="AR57" s="107"/>
      <c r="AS57" s="107"/>
      <c r="AT57" s="107"/>
      <c r="AU57" s="107"/>
      <c r="AV57" s="107"/>
      <c r="AW57" s="107"/>
      <c r="AX57" s="107"/>
      <c r="AY57" s="107"/>
      <c r="AZ57" s="107"/>
      <c r="BA57" s="107"/>
      <c r="BB57" s="107"/>
      <c r="BC57" s="107"/>
      <c r="BD57" s="107"/>
      <c r="BE57" s="107"/>
      <c r="BF57" s="107"/>
    </row>
    <row r="58" spans="1:58" s="16" customFormat="1" ht="55.5" hidden="1" customHeight="1">
      <c r="A58" s="906">
        <v>3</v>
      </c>
      <c r="B58" s="907" t="s">
        <v>892</v>
      </c>
      <c r="C58" s="906">
        <v>24</v>
      </c>
      <c r="D58" s="908" t="s">
        <v>2450</v>
      </c>
      <c r="E58" s="906">
        <v>2402</v>
      </c>
      <c r="F58" s="908" t="s">
        <v>2304</v>
      </c>
      <c r="G58" s="909">
        <v>2402112</v>
      </c>
      <c r="H58" s="908" t="s">
        <v>2700</v>
      </c>
      <c r="I58" s="909">
        <v>240211200</v>
      </c>
      <c r="J58" s="908" t="s">
        <v>2701</v>
      </c>
      <c r="K58" s="910">
        <v>250</v>
      </c>
      <c r="L58" s="910"/>
      <c r="M58" s="128">
        <v>250</v>
      </c>
      <c r="N58" s="911">
        <v>2024003630039</v>
      </c>
      <c r="O58" s="907" t="s">
        <v>2692</v>
      </c>
      <c r="P58" s="912" t="s">
        <v>2714</v>
      </c>
      <c r="Q58" s="901">
        <v>800000000</v>
      </c>
      <c r="R58" s="913"/>
      <c r="S58" s="914"/>
      <c r="T58" s="914"/>
      <c r="U58" s="328">
        <f t="shared" si="1"/>
        <v>800000000</v>
      </c>
      <c r="V58" s="915" t="s">
        <v>2715</v>
      </c>
      <c r="W58" s="916">
        <v>20</v>
      </c>
      <c r="X58" s="916" t="s">
        <v>67</v>
      </c>
      <c r="Y58" s="917">
        <v>293304</v>
      </c>
      <c r="Z58" s="920">
        <v>272744</v>
      </c>
      <c r="AA58" s="917">
        <v>99059</v>
      </c>
      <c r="AB58" s="917">
        <v>36139</v>
      </c>
      <c r="AC58" s="917">
        <v>314186</v>
      </c>
      <c r="AD58" s="917">
        <v>116664</v>
      </c>
      <c r="AE58" s="917">
        <v>3247</v>
      </c>
      <c r="AF58" s="917">
        <v>6804</v>
      </c>
      <c r="AG58" s="917">
        <v>25</v>
      </c>
      <c r="AH58" s="917">
        <v>7</v>
      </c>
      <c r="AI58" s="917">
        <v>0</v>
      </c>
      <c r="AJ58" s="917">
        <v>0</v>
      </c>
      <c r="AK58" s="917">
        <v>50946</v>
      </c>
      <c r="AL58" s="917">
        <v>28554</v>
      </c>
      <c r="AM58" s="917">
        <v>53914</v>
      </c>
      <c r="AN58" s="917">
        <v>566048</v>
      </c>
      <c r="AO58" s="918">
        <v>46023</v>
      </c>
      <c r="AP58" s="918">
        <v>46387</v>
      </c>
      <c r="AQ58" s="919" t="s">
        <v>2605</v>
      </c>
      <c r="AR58" s="107"/>
      <c r="AS58" s="107"/>
      <c r="AT58" s="107"/>
      <c r="AU58" s="107"/>
      <c r="AV58" s="107"/>
      <c r="AW58" s="107"/>
      <c r="AX58" s="107"/>
      <c r="AY58" s="107"/>
      <c r="AZ58" s="107"/>
      <c r="BA58" s="107"/>
      <c r="BB58" s="107"/>
      <c r="BC58" s="107"/>
      <c r="BD58" s="107"/>
      <c r="BE58" s="107"/>
      <c r="BF58" s="107"/>
    </row>
    <row r="59" spans="1:58" s="16" customFormat="1" ht="55.5" hidden="1" customHeight="1">
      <c r="A59" s="906">
        <v>1</v>
      </c>
      <c r="B59" s="907" t="s">
        <v>513</v>
      </c>
      <c r="C59" s="906">
        <v>41</v>
      </c>
      <c r="D59" s="908" t="s">
        <v>1354</v>
      </c>
      <c r="E59" s="906">
        <v>4102</v>
      </c>
      <c r="F59" s="908" t="s">
        <v>1355</v>
      </c>
      <c r="G59" s="909">
        <v>4102027</v>
      </c>
      <c r="H59" s="908" t="s">
        <v>2716</v>
      </c>
      <c r="I59" s="909">
        <v>410202700</v>
      </c>
      <c r="J59" s="908" t="s">
        <v>2716</v>
      </c>
      <c r="K59" s="910">
        <v>1</v>
      </c>
      <c r="L59" s="910"/>
      <c r="M59" s="128">
        <f>+K59+L59</f>
        <v>1</v>
      </c>
      <c r="N59" s="911">
        <v>2024003630040</v>
      </c>
      <c r="O59" s="907" t="s">
        <v>2717</v>
      </c>
      <c r="P59" s="912" t="s">
        <v>2718</v>
      </c>
      <c r="Q59" s="901">
        <v>100000000</v>
      </c>
      <c r="R59" s="913"/>
      <c r="S59" s="914"/>
      <c r="T59" s="914"/>
      <c r="U59" s="328">
        <f t="shared" si="1"/>
        <v>100000000</v>
      </c>
      <c r="V59" s="915" t="s">
        <v>2719</v>
      </c>
      <c r="W59" s="916">
        <v>20</v>
      </c>
      <c r="X59" s="916" t="s">
        <v>67</v>
      </c>
      <c r="Y59" s="917">
        <v>293304</v>
      </c>
      <c r="Z59" s="920">
        <v>272744</v>
      </c>
      <c r="AA59" s="917">
        <v>99059</v>
      </c>
      <c r="AB59" s="917">
        <v>36139</v>
      </c>
      <c r="AC59" s="917">
        <v>314186</v>
      </c>
      <c r="AD59" s="917">
        <v>116664</v>
      </c>
      <c r="AE59" s="917">
        <v>3247</v>
      </c>
      <c r="AF59" s="917">
        <v>6804</v>
      </c>
      <c r="AG59" s="917">
        <v>25</v>
      </c>
      <c r="AH59" s="917">
        <v>7</v>
      </c>
      <c r="AI59" s="917">
        <v>0</v>
      </c>
      <c r="AJ59" s="917">
        <v>0</v>
      </c>
      <c r="AK59" s="917">
        <v>50946</v>
      </c>
      <c r="AL59" s="917">
        <v>28554</v>
      </c>
      <c r="AM59" s="917">
        <v>53914</v>
      </c>
      <c r="AN59" s="917">
        <v>566048</v>
      </c>
      <c r="AO59" s="918">
        <v>46023</v>
      </c>
      <c r="AP59" s="918">
        <v>46387</v>
      </c>
      <c r="AQ59" s="919" t="s">
        <v>2605</v>
      </c>
      <c r="AR59" s="107"/>
      <c r="AS59" s="107"/>
      <c r="AT59" s="107"/>
      <c r="AU59" s="107"/>
      <c r="AV59" s="107"/>
      <c r="AW59" s="107"/>
      <c r="AX59" s="107"/>
      <c r="AY59" s="107"/>
      <c r="AZ59" s="107"/>
      <c r="BA59" s="107"/>
      <c r="BB59" s="107"/>
      <c r="BC59" s="107"/>
      <c r="BD59" s="107"/>
      <c r="BE59" s="107"/>
      <c r="BF59" s="107"/>
    </row>
    <row r="60" spans="1:58" s="16" customFormat="1" ht="55.5" hidden="1" customHeight="1">
      <c r="A60" s="906">
        <v>1</v>
      </c>
      <c r="B60" s="907" t="s">
        <v>513</v>
      </c>
      <c r="C60" s="906">
        <v>41</v>
      </c>
      <c r="D60" s="908" t="s">
        <v>1354</v>
      </c>
      <c r="E60" s="906">
        <v>4104</v>
      </c>
      <c r="F60" s="908" t="s">
        <v>1390</v>
      </c>
      <c r="G60" s="909">
        <v>4104002</v>
      </c>
      <c r="H60" s="908" t="s">
        <v>2720</v>
      </c>
      <c r="I60" s="909">
        <v>410400200</v>
      </c>
      <c r="J60" s="908" t="s">
        <v>2720</v>
      </c>
      <c r="K60" s="910">
        <v>1</v>
      </c>
      <c r="L60" s="910"/>
      <c r="M60" s="128">
        <f>+K60+L60</f>
        <v>1</v>
      </c>
      <c r="N60" s="911">
        <v>2024003630042</v>
      </c>
      <c r="O60" s="907" t="s">
        <v>2721</v>
      </c>
      <c r="P60" s="912" t="s">
        <v>2722</v>
      </c>
      <c r="Q60" s="901">
        <v>59000000</v>
      </c>
      <c r="R60" s="913"/>
      <c r="S60" s="914"/>
      <c r="T60" s="914"/>
      <c r="U60" s="328">
        <f t="shared" si="1"/>
        <v>59000000</v>
      </c>
      <c r="V60" s="915" t="s">
        <v>2723</v>
      </c>
      <c r="W60" s="916">
        <v>20</v>
      </c>
      <c r="X60" s="916" t="s">
        <v>67</v>
      </c>
      <c r="Y60" s="917">
        <v>293304</v>
      </c>
      <c r="Z60" s="920">
        <v>272744</v>
      </c>
      <c r="AA60" s="917">
        <v>99059</v>
      </c>
      <c r="AB60" s="917">
        <v>36139</v>
      </c>
      <c r="AC60" s="917">
        <v>314186</v>
      </c>
      <c r="AD60" s="917">
        <v>116664</v>
      </c>
      <c r="AE60" s="917">
        <v>3247</v>
      </c>
      <c r="AF60" s="917">
        <v>6804</v>
      </c>
      <c r="AG60" s="917">
        <v>25</v>
      </c>
      <c r="AH60" s="917">
        <v>7</v>
      </c>
      <c r="AI60" s="917">
        <v>0</v>
      </c>
      <c r="AJ60" s="917">
        <v>0</v>
      </c>
      <c r="AK60" s="917">
        <v>50946</v>
      </c>
      <c r="AL60" s="917">
        <v>28554</v>
      </c>
      <c r="AM60" s="917">
        <v>53914</v>
      </c>
      <c r="AN60" s="917">
        <v>566048</v>
      </c>
      <c r="AO60" s="918">
        <v>46023</v>
      </c>
      <c r="AP60" s="918">
        <v>46387</v>
      </c>
      <c r="AQ60" s="919" t="s">
        <v>2605</v>
      </c>
      <c r="AR60" s="107"/>
      <c r="AS60" s="107"/>
      <c r="AT60" s="107"/>
      <c r="AU60" s="107"/>
      <c r="AV60" s="107"/>
      <c r="AW60" s="107"/>
      <c r="AX60" s="107"/>
      <c r="AY60" s="107"/>
      <c r="AZ60" s="107"/>
      <c r="BA60" s="107"/>
      <c r="BB60" s="107"/>
      <c r="BC60" s="107"/>
      <c r="BD60" s="107"/>
      <c r="BE60" s="107"/>
      <c r="BF60" s="107"/>
    </row>
    <row r="61" spans="1:58" s="16" customFormat="1" ht="87.75" hidden="1" customHeight="1">
      <c r="A61" s="906">
        <v>1</v>
      </c>
      <c r="B61" s="907" t="s">
        <v>513</v>
      </c>
      <c r="C61" s="906">
        <v>33</v>
      </c>
      <c r="D61" s="908" t="s">
        <v>514</v>
      </c>
      <c r="E61" s="906">
        <v>3301</v>
      </c>
      <c r="F61" s="908" t="s">
        <v>542</v>
      </c>
      <c r="G61" s="909">
        <v>3301068</v>
      </c>
      <c r="H61" s="908" t="s">
        <v>2724</v>
      </c>
      <c r="I61" s="909">
        <v>330106800</v>
      </c>
      <c r="J61" s="908" t="s">
        <v>2725</v>
      </c>
      <c r="K61" s="910">
        <v>4</v>
      </c>
      <c r="L61" s="910"/>
      <c r="M61" s="128">
        <f>+K61+L61</f>
        <v>4</v>
      </c>
      <c r="N61" s="911">
        <v>2024003630127</v>
      </c>
      <c r="O61" s="907" t="s">
        <v>2726</v>
      </c>
      <c r="P61" s="912" t="s">
        <v>2727</v>
      </c>
      <c r="Q61" s="901">
        <v>80000000</v>
      </c>
      <c r="R61" s="913"/>
      <c r="S61" s="914"/>
      <c r="T61" s="914"/>
      <c r="U61" s="328">
        <f t="shared" si="1"/>
        <v>80000000</v>
      </c>
      <c r="V61" s="915" t="s">
        <v>2728</v>
      </c>
      <c r="W61" s="916">
        <v>20</v>
      </c>
      <c r="X61" s="916" t="s">
        <v>67</v>
      </c>
      <c r="Y61" s="917">
        <v>293304</v>
      </c>
      <c r="Z61" s="920">
        <v>272744</v>
      </c>
      <c r="AA61" s="917">
        <v>99059</v>
      </c>
      <c r="AB61" s="917">
        <v>36139</v>
      </c>
      <c r="AC61" s="917">
        <v>314186</v>
      </c>
      <c r="AD61" s="917">
        <v>116664</v>
      </c>
      <c r="AE61" s="917">
        <v>3247</v>
      </c>
      <c r="AF61" s="917">
        <v>6804</v>
      </c>
      <c r="AG61" s="917">
        <v>25</v>
      </c>
      <c r="AH61" s="917">
        <v>7</v>
      </c>
      <c r="AI61" s="917">
        <v>0</v>
      </c>
      <c r="AJ61" s="917">
        <v>0</v>
      </c>
      <c r="AK61" s="917">
        <v>50946</v>
      </c>
      <c r="AL61" s="917">
        <v>28554</v>
      </c>
      <c r="AM61" s="917">
        <v>53914</v>
      </c>
      <c r="AN61" s="917">
        <v>566048</v>
      </c>
      <c r="AO61" s="918">
        <v>46023</v>
      </c>
      <c r="AP61" s="918">
        <v>46387</v>
      </c>
      <c r="AQ61" s="919" t="s">
        <v>2605</v>
      </c>
      <c r="AR61" s="107"/>
      <c r="AS61" s="107"/>
      <c r="AT61" s="107"/>
      <c r="AU61" s="107"/>
      <c r="AV61" s="107"/>
      <c r="AW61" s="107"/>
      <c r="AX61" s="107"/>
      <c r="AY61" s="107"/>
      <c r="AZ61" s="107"/>
      <c r="BA61" s="107"/>
      <c r="BB61" s="107"/>
      <c r="BC61" s="107"/>
      <c r="BD61" s="107"/>
      <c r="BE61" s="107"/>
      <c r="BF61" s="107"/>
    </row>
    <row r="62" spans="1:58" s="16" customFormat="1" ht="55.5" hidden="1" customHeight="1">
      <c r="A62" s="906">
        <v>2</v>
      </c>
      <c r="B62" s="907" t="s">
        <v>326</v>
      </c>
      <c r="C62" s="906">
        <v>32</v>
      </c>
      <c r="D62" s="908" t="s">
        <v>882</v>
      </c>
      <c r="E62" s="906">
        <v>3205</v>
      </c>
      <c r="F62" s="908" t="s">
        <v>389</v>
      </c>
      <c r="G62" s="909" t="s">
        <v>814</v>
      </c>
      <c r="H62" s="908" t="s">
        <v>815</v>
      </c>
      <c r="I62" s="909">
        <v>320501000</v>
      </c>
      <c r="J62" s="908" t="s">
        <v>817</v>
      </c>
      <c r="K62" s="910">
        <v>12.5</v>
      </c>
      <c r="L62" s="910"/>
      <c r="M62" s="332">
        <v>12.5</v>
      </c>
      <c r="N62" s="911">
        <v>2024003630128</v>
      </c>
      <c r="O62" s="907" t="s">
        <v>2729</v>
      </c>
      <c r="P62" s="912" t="s">
        <v>2730</v>
      </c>
      <c r="Q62" s="901">
        <v>78000000</v>
      </c>
      <c r="R62" s="913">
        <v>78000000</v>
      </c>
      <c r="S62" s="914"/>
      <c r="T62" s="914"/>
      <c r="U62" s="328">
        <f t="shared" si="1"/>
        <v>0</v>
      </c>
      <c r="V62" s="915" t="s">
        <v>2731</v>
      </c>
      <c r="W62" s="916">
        <v>20</v>
      </c>
      <c r="X62" s="916" t="s">
        <v>67</v>
      </c>
      <c r="Y62" s="917">
        <v>293304</v>
      </c>
      <c r="Z62" s="920">
        <v>272744</v>
      </c>
      <c r="AA62" s="917">
        <v>99059</v>
      </c>
      <c r="AB62" s="917">
        <v>36139</v>
      </c>
      <c r="AC62" s="917">
        <v>314186</v>
      </c>
      <c r="AD62" s="917">
        <v>116664</v>
      </c>
      <c r="AE62" s="917">
        <v>3247</v>
      </c>
      <c r="AF62" s="917">
        <v>6804</v>
      </c>
      <c r="AG62" s="917">
        <v>25</v>
      </c>
      <c r="AH62" s="917">
        <v>7</v>
      </c>
      <c r="AI62" s="917">
        <v>0</v>
      </c>
      <c r="AJ62" s="917">
        <v>0</v>
      </c>
      <c r="AK62" s="917">
        <v>50946</v>
      </c>
      <c r="AL62" s="917">
        <v>28554</v>
      </c>
      <c r="AM62" s="917">
        <v>53914</v>
      </c>
      <c r="AN62" s="917">
        <v>566048</v>
      </c>
      <c r="AO62" s="918">
        <v>46023</v>
      </c>
      <c r="AP62" s="918">
        <v>46387</v>
      </c>
      <c r="AQ62" s="919" t="s">
        <v>2605</v>
      </c>
      <c r="AR62" s="107"/>
      <c r="AS62" s="107"/>
      <c r="AT62" s="107"/>
      <c r="AU62" s="107"/>
      <c r="AV62" s="107"/>
      <c r="AW62" s="107"/>
      <c r="AX62" s="107"/>
      <c r="AY62" s="107"/>
      <c r="AZ62" s="107"/>
      <c r="BA62" s="107"/>
      <c r="BB62" s="107"/>
      <c r="BC62" s="107"/>
      <c r="BD62" s="107"/>
      <c r="BE62" s="107"/>
      <c r="BF62" s="107"/>
    </row>
    <row r="63" spans="1:58" s="16" customFormat="1" ht="55.5" hidden="1" customHeight="1">
      <c r="A63" s="906">
        <v>4</v>
      </c>
      <c r="B63" s="907" t="s">
        <v>58</v>
      </c>
      <c r="C63" s="906">
        <v>45</v>
      </c>
      <c r="D63" s="908" t="s">
        <v>59</v>
      </c>
      <c r="E63" s="906">
        <v>4599</v>
      </c>
      <c r="F63" s="908" t="s">
        <v>60</v>
      </c>
      <c r="G63" s="909">
        <v>4599011</v>
      </c>
      <c r="H63" s="908" t="s">
        <v>2732</v>
      </c>
      <c r="I63" s="909">
        <v>459901100</v>
      </c>
      <c r="J63" s="908" t="s">
        <v>2732</v>
      </c>
      <c r="K63" s="910">
        <v>2</v>
      </c>
      <c r="L63" s="910"/>
      <c r="M63" s="128">
        <f>+K63+L63</f>
        <v>2</v>
      </c>
      <c r="N63" s="911">
        <v>2024003630129</v>
      </c>
      <c r="O63" s="907" t="s">
        <v>2733</v>
      </c>
      <c r="P63" s="912" t="s">
        <v>2734</v>
      </c>
      <c r="Q63" s="901">
        <v>200000000</v>
      </c>
      <c r="R63" s="913"/>
      <c r="S63" s="914"/>
      <c r="T63" s="914"/>
      <c r="U63" s="328">
        <f t="shared" si="1"/>
        <v>200000000</v>
      </c>
      <c r="V63" s="915" t="s">
        <v>2735</v>
      </c>
      <c r="W63" s="916">
        <v>20</v>
      </c>
      <c r="X63" s="916" t="s">
        <v>67</v>
      </c>
      <c r="Y63" s="917">
        <v>293304</v>
      </c>
      <c r="Z63" s="920">
        <v>272744</v>
      </c>
      <c r="AA63" s="917">
        <v>99059</v>
      </c>
      <c r="AB63" s="917">
        <v>36139</v>
      </c>
      <c r="AC63" s="917">
        <v>314186</v>
      </c>
      <c r="AD63" s="917">
        <v>116664</v>
      </c>
      <c r="AE63" s="917">
        <v>3247</v>
      </c>
      <c r="AF63" s="917">
        <v>6804</v>
      </c>
      <c r="AG63" s="917">
        <v>25</v>
      </c>
      <c r="AH63" s="917">
        <v>7</v>
      </c>
      <c r="AI63" s="917">
        <v>0</v>
      </c>
      <c r="AJ63" s="917">
        <v>0</v>
      </c>
      <c r="AK63" s="917">
        <v>50946</v>
      </c>
      <c r="AL63" s="917">
        <v>28554</v>
      </c>
      <c r="AM63" s="917">
        <v>53914</v>
      </c>
      <c r="AN63" s="917">
        <v>566048</v>
      </c>
      <c r="AO63" s="918">
        <v>46023</v>
      </c>
      <c r="AP63" s="918">
        <v>46387</v>
      </c>
      <c r="AQ63" s="919" t="s">
        <v>2605</v>
      </c>
      <c r="AR63" s="107"/>
      <c r="AS63" s="107"/>
      <c r="AT63" s="107"/>
      <c r="AU63" s="107"/>
      <c r="AV63" s="107"/>
      <c r="AW63" s="107"/>
      <c r="AX63" s="107"/>
      <c r="AY63" s="107"/>
      <c r="AZ63" s="107"/>
      <c r="BA63" s="107"/>
      <c r="BB63" s="107"/>
      <c r="BC63" s="107"/>
      <c r="BD63" s="107"/>
      <c r="BE63" s="107"/>
      <c r="BF63" s="107"/>
    </row>
    <row r="64" spans="1:58" s="16" customFormat="1" ht="55.5" hidden="1" customHeight="1">
      <c r="A64" s="906">
        <v>4</v>
      </c>
      <c r="B64" s="907" t="s">
        <v>58</v>
      </c>
      <c r="C64" s="906">
        <v>45</v>
      </c>
      <c r="D64" s="908" t="s">
        <v>59</v>
      </c>
      <c r="E64" s="906">
        <v>4599</v>
      </c>
      <c r="F64" s="908" t="s">
        <v>60</v>
      </c>
      <c r="G64" s="909">
        <v>4599011</v>
      </c>
      <c r="H64" s="908" t="s">
        <v>2732</v>
      </c>
      <c r="I64" s="909">
        <v>459901100</v>
      </c>
      <c r="J64" s="908" t="s">
        <v>2732</v>
      </c>
      <c r="K64" s="910">
        <v>2</v>
      </c>
      <c r="L64" s="910"/>
      <c r="M64" s="128">
        <f t="shared" ref="M64:M69" si="2">+K64+L64</f>
        <v>2</v>
      </c>
      <c r="N64" s="911">
        <v>2024003630129</v>
      </c>
      <c r="O64" s="907" t="s">
        <v>2733</v>
      </c>
      <c r="P64" s="912" t="s">
        <v>2736</v>
      </c>
      <c r="Q64" s="901">
        <v>700000000</v>
      </c>
      <c r="R64" s="913">
        <f>309713649+14353862</f>
        <v>324067511</v>
      </c>
      <c r="S64" s="914"/>
      <c r="T64" s="914"/>
      <c r="U64" s="328">
        <f t="shared" si="1"/>
        <v>375932489</v>
      </c>
      <c r="V64" s="915" t="s">
        <v>2737</v>
      </c>
      <c r="W64" s="916">
        <v>1</v>
      </c>
      <c r="X64" s="916" t="s">
        <v>132</v>
      </c>
      <c r="Y64" s="917">
        <v>293304</v>
      </c>
      <c r="Z64" s="920">
        <v>272744</v>
      </c>
      <c r="AA64" s="917">
        <v>99059</v>
      </c>
      <c r="AB64" s="917">
        <v>36139</v>
      </c>
      <c r="AC64" s="917">
        <v>314186</v>
      </c>
      <c r="AD64" s="917">
        <v>116664</v>
      </c>
      <c r="AE64" s="917">
        <v>3247</v>
      </c>
      <c r="AF64" s="917">
        <v>6804</v>
      </c>
      <c r="AG64" s="917">
        <v>25</v>
      </c>
      <c r="AH64" s="917">
        <v>7</v>
      </c>
      <c r="AI64" s="917">
        <v>0</v>
      </c>
      <c r="AJ64" s="917">
        <v>0</v>
      </c>
      <c r="AK64" s="917">
        <v>50946</v>
      </c>
      <c r="AL64" s="917">
        <v>28554</v>
      </c>
      <c r="AM64" s="917">
        <v>53914</v>
      </c>
      <c r="AN64" s="917">
        <v>566048</v>
      </c>
      <c r="AO64" s="918">
        <v>46023</v>
      </c>
      <c r="AP64" s="918">
        <v>46387</v>
      </c>
      <c r="AQ64" s="919" t="s">
        <v>2605</v>
      </c>
      <c r="AR64" s="107"/>
      <c r="AS64" s="107"/>
      <c r="AT64" s="107"/>
      <c r="AU64" s="107"/>
      <c r="AV64" s="107"/>
      <c r="AW64" s="107"/>
      <c r="AX64" s="107"/>
      <c r="AY64" s="107"/>
      <c r="AZ64" s="107"/>
      <c r="BA64" s="107"/>
      <c r="BB64" s="107"/>
      <c r="BC64" s="107"/>
      <c r="BD64" s="107"/>
      <c r="BE64" s="107"/>
      <c r="BF64" s="107"/>
    </row>
    <row r="65" spans="1:58" s="16" customFormat="1" ht="55.5" hidden="1" customHeight="1">
      <c r="A65" s="906">
        <v>4</v>
      </c>
      <c r="B65" s="907" t="s">
        <v>58</v>
      </c>
      <c r="C65" s="906">
        <v>45</v>
      </c>
      <c r="D65" s="908" t="s">
        <v>59</v>
      </c>
      <c r="E65" s="906">
        <v>4599</v>
      </c>
      <c r="F65" s="908" t="s">
        <v>60</v>
      </c>
      <c r="G65" s="909">
        <v>4599016</v>
      </c>
      <c r="H65" s="908" t="s">
        <v>1162</v>
      </c>
      <c r="I65" s="909">
        <v>459901600</v>
      </c>
      <c r="J65" s="908" t="s">
        <v>1162</v>
      </c>
      <c r="K65" s="910">
        <v>5</v>
      </c>
      <c r="L65" s="910"/>
      <c r="M65" s="128">
        <f t="shared" si="2"/>
        <v>5</v>
      </c>
      <c r="N65" s="911">
        <v>2024003630129</v>
      </c>
      <c r="O65" s="907" t="s">
        <v>2733</v>
      </c>
      <c r="P65" s="912" t="s">
        <v>2738</v>
      </c>
      <c r="Q65" s="901">
        <v>1400000000</v>
      </c>
      <c r="R65" s="913">
        <v>1400000000</v>
      </c>
      <c r="S65" s="914"/>
      <c r="T65" s="914"/>
      <c r="U65" s="328">
        <f t="shared" si="1"/>
        <v>0</v>
      </c>
      <c r="V65" s="915" t="s">
        <v>2739</v>
      </c>
      <c r="W65" s="916">
        <v>1</v>
      </c>
      <c r="X65" s="916" t="s">
        <v>132</v>
      </c>
      <c r="Y65" s="917">
        <v>293304</v>
      </c>
      <c r="Z65" s="920">
        <v>272744</v>
      </c>
      <c r="AA65" s="917">
        <v>99059</v>
      </c>
      <c r="AB65" s="917">
        <v>36139</v>
      </c>
      <c r="AC65" s="917">
        <v>314186</v>
      </c>
      <c r="AD65" s="917">
        <v>116664</v>
      </c>
      <c r="AE65" s="917">
        <v>3247</v>
      </c>
      <c r="AF65" s="917">
        <v>6804</v>
      </c>
      <c r="AG65" s="917">
        <v>25</v>
      </c>
      <c r="AH65" s="917">
        <v>7</v>
      </c>
      <c r="AI65" s="917">
        <v>0</v>
      </c>
      <c r="AJ65" s="917">
        <v>0</v>
      </c>
      <c r="AK65" s="917">
        <v>50946</v>
      </c>
      <c r="AL65" s="917">
        <v>28554</v>
      </c>
      <c r="AM65" s="917">
        <v>53914</v>
      </c>
      <c r="AN65" s="917">
        <v>566048</v>
      </c>
      <c r="AO65" s="918">
        <v>46023</v>
      </c>
      <c r="AP65" s="918">
        <v>46387</v>
      </c>
      <c r="AQ65" s="919" t="s">
        <v>2605</v>
      </c>
      <c r="AR65" s="107"/>
      <c r="AS65" s="107"/>
      <c r="AT65" s="107"/>
      <c r="AU65" s="107"/>
      <c r="AV65" s="107"/>
      <c r="AW65" s="107"/>
      <c r="AX65" s="107"/>
      <c r="AY65" s="107"/>
      <c r="AZ65" s="107"/>
      <c r="BA65" s="107"/>
      <c r="BB65" s="107"/>
      <c r="BC65" s="107"/>
      <c r="BD65" s="107"/>
      <c r="BE65" s="107"/>
      <c r="BF65" s="107"/>
    </row>
    <row r="66" spans="1:58" s="16" customFormat="1" ht="55.5" hidden="1" customHeight="1">
      <c r="A66" s="906">
        <v>4</v>
      </c>
      <c r="B66" s="907" t="s">
        <v>58</v>
      </c>
      <c r="C66" s="906">
        <v>45</v>
      </c>
      <c r="D66" s="908" t="s">
        <v>59</v>
      </c>
      <c r="E66" s="906">
        <v>4599</v>
      </c>
      <c r="F66" s="908" t="s">
        <v>60</v>
      </c>
      <c r="G66" s="909">
        <v>4599016</v>
      </c>
      <c r="H66" s="908" t="s">
        <v>1162</v>
      </c>
      <c r="I66" s="909">
        <v>459901600</v>
      </c>
      <c r="J66" s="908" t="s">
        <v>1162</v>
      </c>
      <c r="K66" s="910">
        <v>5</v>
      </c>
      <c r="L66" s="910"/>
      <c r="M66" s="128">
        <f t="shared" si="2"/>
        <v>5</v>
      </c>
      <c r="N66" s="911">
        <v>2024003630129</v>
      </c>
      <c r="O66" s="907" t="s">
        <v>2733</v>
      </c>
      <c r="P66" s="912" t="s">
        <v>2740</v>
      </c>
      <c r="Q66" s="901">
        <v>100000000</v>
      </c>
      <c r="R66" s="913"/>
      <c r="S66" s="914"/>
      <c r="T66" s="914"/>
      <c r="U66" s="328">
        <f t="shared" si="1"/>
        <v>100000000</v>
      </c>
      <c r="V66" s="915" t="s">
        <v>2741</v>
      </c>
      <c r="W66" s="916">
        <v>20</v>
      </c>
      <c r="X66" s="916" t="s">
        <v>67</v>
      </c>
      <c r="Y66" s="917">
        <v>293304</v>
      </c>
      <c r="Z66" s="920">
        <v>272744</v>
      </c>
      <c r="AA66" s="917">
        <v>99059</v>
      </c>
      <c r="AB66" s="917">
        <v>36139</v>
      </c>
      <c r="AC66" s="917">
        <v>314186</v>
      </c>
      <c r="AD66" s="917">
        <v>116664</v>
      </c>
      <c r="AE66" s="917">
        <v>3247</v>
      </c>
      <c r="AF66" s="917">
        <v>6804</v>
      </c>
      <c r="AG66" s="917">
        <v>25</v>
      </c>
      <c r="AH66" s="917">
        <v>7</v>
      </c>
      <c r="AI66" s="917">
        <v>0</v>
      </c>
      <c r="AJ66" s="917">
        <v>0</v>
      </c>
      <c r="AK66" s="917">
        <v>50946</v>
      </c>
      <c r="AL66" s="917">
        <v>28554</v>
      </c>
      <c r="AM66" s="917">
        <v>53914</v>
      </c>
      <c r="AN66" s="917">
        <v>566048</v>
      </c>
      <c r="AO66" s="918">
        <v>46023</v>
      </c>
      <c r="AP66" s="918">
        <v>46387</v>
      </c>
      <c r="AQ66" s="919" t="s">
        <v>2605</v>
      </c>
      <c r="AR66" s="107"/>
      <c r="AS66" s="107"/>
      <c r="AT66" s="107"/>
      <c r="AU66" s="107"/>
      <c r="AV66" s="107"/>
      <c r="AW66" s="107"/>
      <c r="AX66" s="107"/>
      <c r="AY66" s="107"/>
      <c r="AZ66" s="107"/>
      <c r="BA66" s="107"/>
      <c r="BB66" s="107"/>
      <c r="BC66" s="107"/>
      <c r="BD66" s="107"/>
      <c r="BE66" s="107"/>
      <c r="BF66" s="107"/>
    </row>
    <row r="67" spans="1:58" s="16" customFormat="1" ht="90.75" customHeight="1">
      <c r="A67" s="906">
        <v>4</v>
      </c>
      <c r="B67" s="907" t="s">
        <v>58</v>
      </c>
      <c r="C67" s="906">
        <v>45</v>
      </c>
      <c r="D67" s="908" t="s">
        <v>59</v>
      </c>
      <c r="E67" s="906">
        <v>4599</v>
      </c>
      <c r="F67" s="908" t="s">
        <v>60</v>
      </c>
      <c r="G67" s="909">
        <v>4599016</v>
      </c>
      <c r="H67" s="908" t="s">
        <v>1162</v>
      </c>
      <c r="I67" s="909">
        <v>459901600</v>
      </c>
      <c r="J67" s="908" t="s">
        <v>1162</v>
      </c>
      <c r="K67" s="910">
        <v>5</v>
      </c>
      <c r="L67" s="910"/>
      <c r="M67" s="128">
        <f t="shared" si="2"/>
        <v>5</v>
      </c>
      <c r="N67" s="911">
        <v>2024003630129</v>
      </c>
      <c r="O67" s="907" t="s">
        <v>2733</v>
      </c>
      <c r="P67" s="912" t="s">
        <v>2742</v>
      </c>
      <c r="Q67" s="901">
        <v>70000000</v>
      </c>
      <c r="R67" s="953">
        <f>4800000+400000+4800000+4400000+4400000+4400000+4400000+14800000+14800000</f>
        <v>57200000</v>
      </c>
      <c r="S67" s="914"/>
      <c r="T67" s="914"/>
      <c r="U67" s="328">
        <f t="shared" si="1"/>
        <v>12800000</v>
      </c>
      <c r="V67" s="915" t="s">
        <v>2743</v>
      </c>
      <c r="W67" s="916">
        <v>20</v>
      </c>
      <c r="X67" s="916" t="s">
        <v>67</v>
      </c>
      <c r="Y67" s="917">
        <v>293304</v>
      </c>
      <c r="Z67" s="920">
        <v>272744</v>
      </c>
      <c r="AA67" s="917">
        <v>99059</v>
      </c>
      <c r="AB67" s="917">
        <v>36139</v>
      </c>
      <c r="AC67" s="917">
        <v>314186</v>
      </c>
      <c r="AD67" s="917">
        <v>116664</v>
      </c>
      <c r="AE67" s="917">
        <v>3247</v>
      </c>
      <c r="AF67" s="917">
        <v>6804</v>
      </c>
      <c r="AG67" s="917">
        <v>25</v>
      </c>
      <c r="AH67" s="917">
        <v>7</v>
      </c>
      <c r="AI67" s="917">
        <v>0</v>
      </c>
      <c r="AJ67" s="917">
        <v>0</v>
      </c>
      <c r="AK67" s="917">
        <v>50946</v>
      </c>
      <c r="AL67" s="917">
        <v>28554</v>
      </c>
      <c r="AM67" s="917">
        <v>53914</v>
      </c>
      <c r="AN67" s="917">
        <v>566048</v>
      </c>
      <c r="AO67" s="918">
        <v>46023</v>
      </c>
      <c r="AP67" s="918">
        <v>46387</v>
      </c>
      <c r="AQ67" s="919" t="s">
        <v>2605</v>
      </c>
      <c r="AR67" s="107"/>
      <c r="AS67" s="107"/>
      <c r="AT67" s="107"/>
      <c r="AU67" s="107"/>
      <c r="AV67" s="107"/>
      <c r="AW67" s="107"/>
      <c r="AX67" s="107"/>
      <c r="AY67" s="107"/>
      <c r="AZ67" s="107"/>
      <c r="BA67" s="107"/>
      <c r="BB67" s="107"/>
      <c r="BC67" s="107"/>
      <c r="BD67" s="107"/>
      <c r="BE67" s="107"/>
      <c r="BF67" s="107"/>
    </row>
    <row r="68" spans="1:58" s="16" customFormat="1" ht="55.5" hidden="1" customHeight="1">
      <c r="A68" s="906">
        <v>4</v>
      </c>
      <c r="B68" s="907" t="s">
        <v>58</v>
      </c>
      <c r="C68" s="906">
        <v>12</v>
      </c>
      <c r="D68" s="908" t="s">
        <v>2744</v>
      </c>
      <c r="E68" s="906">
        <v>1202</v>
      </c>
      <c r="F68" s="908" t="s">
        <v>402</v>
      </c>
      <c r="G68" s="909" t="s">
        <v>2745</v>
      </c>
      <c r="H68" s="908" t="s">
        <v>2746</v>
      </c>
      <c r="I68" s="909">
        <v>120201900</v>
      </c>
      <c r="J68" s="908" t="s">
        <v>2747</v>
      </c>
      <c r="K68" s="910">
        <v>2</v>
      </c>
      <c r="L68" s="910"/>
      <c r="M68" s="128">
        <f t="shared" si="2"/>
        <v>2</v>
      </c>
      <c r="N68" s="911">
        <v>2024003630133</v>
      </c>
      <c r="O68" s="907" t="s">
        <v>2748</v>
      </c>
      <c r="P68" s="912" t="s">
        <v>2749</v>
      </c>
      <c r="Q68" s="901">
        <v>70000000</v>
      </c>
      <c r="R68" s="913"/>
      <c r="S68" s="914"/>
      <c r="T68" s="914"/>
      <c r="U68" s="328">
        <f t="shared" si="1"/>
        <v>70000000</v>
      </c>
      <c r="V68" s="915" t="s">
        <v>2750</v>
      </c>
      <c r="W68" s="916">
        <v>20</v>
      </c>
      <c r="X68" s="916" t="s">
        <v>67</v>
      </c>
      <c r="Y68" s="917">
        <v>293304</v>
      </c>
      <c r="Z68" s="920">
        <v>272744</v>
      </c>
      <c r="AA68" s="917">
        <v>99059</v>
      </c>
      <c r="AB68" s="917">
        <v>36139</v>
      </c>
      <c r="AC68" s="917">
        <v>314186</v>
      </c>
      <c r="AD68" s="917">
        <v>116664</v>
      </c>
      <c r="AE68" s="917">
        <v>3247</v>
      </c>
      <c r="AF68" s="917">
        <v>6804</v>
      </c>
      <c r="AG68" s="917">
        <v>25</v>
      </c>
      <c r="AH68" s="917">
        <v>7</v>
      </c>
      <c r="AI68" s="917">
        <v>0</v>
      </c>
      <c r="AJ68" s="917">
        <v>0</v>
      </c>
      <c r="AK68" s="917">
        <v>50946</v>
      </c>
      <c r="AL68" s="917">
        <v>28554</v>
      </c>
      <c r="AM68" s="917">
        <v>53914</v>
      </c>
      <c r="AN68" s="917">
        <v>566048</v>
      </c>
      <c r="AO68" s="918">
        <v>46023</v>
      </c>
      <c r="AP68" s="918">
        <v>46387</v>
      </c>
      <c r="AQ68" s="919" t="s">
        <v>2605</v>
      </c>
      <c r="AR68" s="107"/>
      <c r="AS68" s="107"/>
      <c r="AT68" s="107"/>
      <c r="AU68" s="107"/>
      <c r="AV68" s="107"/>
      <c r="AW68" s="107"/>
      <c r="AX68" s="107"/>
      <c r="AY68" s="107"/>
      <c r="AZ68" s="107"/>
      <c r="BA68" s="107"/>
      <c r="BB68" s="107"/>
      <c r="BC68" s="107"/>
      <c r="BD68" s="107"/>
      <c r="BE68" s="107"/>
      <c r="BF68" s="107"/>
    </row>
    <row r="69" spans="1:58" s="16" customFormat="1" ht="55.5" hidden="1" customHeight="1">
      <c r="A69" s="906">
        <v>4</v>
      </c>
      <c r="B69" s="907" t="s">
        <v>58</v>
      </c>
      <c r="C69" s="906">
        <v>45</v>
      </c>
      <c r="D69" s="908" t="s">
        <v>59</v>
      </c>
      <c r="E69" s="906">
        <v>4502</v>
      </c>
      <c r="F69" s="908" t="s">
        <v>97</v>
      </c>
      <c r="G69" s="909">
        <v>4502003</v>
      </c>
      <c r="H69" s="908" t="s">
        <v>2751</v>
      </c>
      <c r="I69" s="909">
        <v>450200300</v>
      </c>
      <c r="J69" s="908" t="s">
        <v>2752</v>
      </c>
      <c r="K69" s="910">
        <v>3</v>
      </c>
      <c r="L69" s="910"/>
      <c r="M69" s="128">
        <f t="shared" si="2"/>
        <v>3</v>
      </c>
      <c r="N69" s="911">
        <v>2024003630134</v>
      </c>
      <c r="O69" s="907" t="s">
        <v>2753</v>
      </c>
      <c r="P69" s="912" t="s">
        <v>2754</v>
      </c>
      <c r="Q69" s="901">
        <v>25000000</v>
      </c>
      <c r="R69" s="913">
        <f>2800000+3200000+2000000+1600000+2000000+4800000+4800000+2800000</f>
        <v>24000000</v>
      </c>
      <c r="S69" s="914"/>
      <c r="T69" s="914"/>
      <c r="U69" s="328">
        <f t="shared" si="1"/>
        <v>1000000</v>
      </c>
      <c r="V69" s="915" t="s">
        <v>2755</v>
      </c>
      <c r="W69" s="916">
        <v>20</v>
      </c>
      <c r="X69" s="916" t="s">
        <v>67</v>
      </c>
      <c r="Y69" s="917">
        <v>293304</v>
      </c>
      <c r="Z69" s="920">
        <v>272744</v>
      </c>
      <c r="AA69" s="917">
        <v>99059</v>
      </c>
      <c r="AB69" s="917">
        <v>36139</v>
      </c>
      <c r="AC69" s="917">
        <v>314186</v>
      </c>
      <c r="AD69" s="917">
        <v>116664</v>
      </c>
      <c r="AE69" s="917">
        <v>3247</v>
      </c>
      <c r="AF69" s="917">
        <v>6804</v>
      </c>
      <c r="AG69" s="917">
        <v>25</v>
      </c>
      <c r="AH69" s="917">
        <v>7</v>
      </c>
      <c r="AI69" s="917">
        <v>0</v>
      </c>
      <c r="AJ69" s="917">
        <v>0</v>
      </c>
      <c r="AK69" s="917">
        <v>50946</v>
      </c>
      <c r="AL69" s="917">
        <v>28554</v>
      </c>
      <c r="AM69" s="917">
        <v>53914</v>
      </c>
      <c r="AN69" s="917">
        <v>566048</v>
      </c>
      <c r="AO69" s="918">
        <v>46023</v>
      </c>
      <c r="AP69" s="918">
        <v>46387</v>
      </c>
      <c r="AQ69" s="919" t="s">
        <v>2605</v>
      </c>
      <c r="AR69" s="107"/>
      <c r="AS69" s="107"/>
      <c r="AT69" s="107"/>
      <c r="AU69" s="107"/>
      <c r="AV69" s="107"/>
      <c r="AW69" s="107"/>
      <c r="AX69" s="107"/>
      <c r="AY69" s="107"/>
      <c r="AZ69" s="107"/>
      <c r="BA69" s="107"/>
      <c r="BB69" s="107"/>
      <c r="BC69" s="107"/>
      <c r="BD69" s="107"/>
      <c r="BE69" s="107"/>
      <c r="BF69" s="107"/>
    </row>
    <row r="70" spans="1:58" s="16" customFormat="1" ht="55.5" hidden="1" customHeight="1">
      <c r="A70" s="906">
        <v>4</v>
      </c>
      <c r="B70" s="907" t="s">
        <v>58</v>
      </c>
      <c r="C70" s="906">
        <v>45</v>
      </c>
      <c r="D70" s="908" t="s">
        <v>59</v>
      </c>
      <c r="E70" s="906">
        <v>4502</v>
      </c>
      <c r="F70" s="908" t="s">
        <v>97</v>
      </c>
      <c r="G70" s="909">
        <v>4502003</v>
      </c>
      <c r="H70" s="908" t="s">
        <v>2751</v>
      </c>
      <c r="I70" s="909">
        <v>450200300</v>
      </c>
      <c r="J70" s="908" t="s">
        <v>2752</v>
      </c>
      <c r="K70" s="910">
        <v>3</v>
      </c>
      <c r="L70" s="910"/>
      <c r="M70" s="128">
        <f>+K70+L70</f>
        <v>3</v>
      </c>
      <c r="N70" s="911">
        <v>2024003630134</v>
      </c>
      <c r="O70" s="907" t="s">
        <v>2753</v>
      </c>
      <c r="P70" s="912" t="s">
        <v>2756</v>
      </c>
      <c r="Q70" s="901">
        <v>40000000</v>
      </c>
      <c r="R70" s="913"/>
      <c r="S70" s="914"/>
      <c r="T70" s="914"/>
      <c r="U70" s="328">
        <f t="shared" si="1"/>
        <v>40000000</v>
      </c>
      <c r="V70" s="915" t="s">
        <v>2757</v>
      </c>
      <c r="W70" s="916">
        <v>20</v>
      </c>
      <c r="X70" s="916" t="s">
        <v>67</v>
      </c>
      <c r="Y70" s="917">
        <v>293304</v>
      </c>
      <c r="Z70" s="920">
        <v>272744</v>
      </c>
      <c r="AA70" s="917">
        <v>99059</v>
      </c>
      <c r="AB70" s="917">
        <v>36139</v>
      </c>
      <c r="AC70" s="917">
        <v>314186</v>
      </c>
      <c r="AD70" s="917">
        <v>116664</v>
      </c>
      <c r="AE70" s="917">
        <v>3247</v>
      </c>
      <c r="AF70" s="917">
        <v>6804</v>
      </c>
      <c r="AG70" s="917">
        <v>25</v>
      </c>
      <c r="AH70" s="917">
        <v>7</v>
      </c>
      <c r="AI70" s="917">
        <v>0</v>
      </c>
      <c r="AJ70" s="917">
        <v>0</v>
      </c>
      <c r="AK70" s="917">
        <v>50946</v>
      </c>
      <c r="AL70" s="917">
        <v>28554</v>
      </c>
      <c r="AM70" s="917">
        <v>53914</v>
      </c>
      <c r="AN70" s="917">
        <v>566048</v>
      </c>
      <c r="AO70" s="918">
        <v>46023</v>
      </c>
      <c r="AP70" s="918">
        <v>46387</v>
      </c>
      <c r="AQ70" s="919" t="s">
        <v>2605</v>
      </c>
      <c r="AR70" s="107"/>
      <c r="AS70" s="107"/>
      <c r="AT70" s="107"/>
      <c r="AU70" s="107"/>
      <c r="AV70" s="107"/>
      <c r="AW70" s="107"/>
      <c r="AX70" s="107"/>
      <c r="AY70" s="107"/>
      <c r="AZ70" s="107"/>
      <c r="BA70" s="107"/>
      <c r="BB70" s="107"/>
      <c r="BC70" s="107"/>
      <c r="BD70" s="107"/>
      <c r="BE70" s="107"/>
      <c r="BF70" s="107"/>
    </row>
    <row r="71" spans="1:58" s="16" customFormat="1" ht="55.5" hidden="1" customHeight="1">
      <c r="A71" s="906">
        <v>1</v>
      </c>
      <c r="B71" s="907" t="s">
        <v>513</v>
      </c>
      <c r="C71" s="906">
        <v>41</v>
      </c>
      <c r="D71" s="908" t="s">
        <v>1354</v>
      </c>
      <c r="E71" s="906">
        <v>4102</v>
      </c>
      <c r="F71" s="908" t="s">
        <v>1355</v>
      </c>
      <c r="G71" s="909">
        <v>4102005</v>
      </c>
      <c r="H71" s="908" t="s">
        <v>2758</v>
      </c>
      <c r="I71" s="909">
        <v>410200500</v>
      </c>
      <c r="J71" s="908" t="s">
        <v>2758</v>
      </c>
      <c r="K71" s="910">
        <v>2</v>
      </c>
      <c r="L71" s="910"/>
      <c r="M71" s="128">
        <f>+K71+L71</f>
        <v>2</v>
      </c>
      <c r="N71" s="911">
        <v>2024003630135</v>
      </c>
      <c r="O71" s="907" t="s">
        <v>2759</v>
      </c>
      <c r="P71" s="912" t="s">
        <v>2760</v>
      </c>
      <c r="Q71" s="901">
        <v>200000000</v>
      </c>
      <c r="R71" s="913"/>
      <c r="S71" s="914"/>
      <c r="T71" s="914"/>
      <c r="U71" s="328">
        <f t="shared" si="1"/>
        <v>200000000</v>
      </c>
      <c r="V71" s="915" t="s">
        <v>2761</v>
      </c>
      <c r="W71" s="916">
        <v>20</v>
      </c>
      <c r="X71" s="916" t="s">
        <v>67</v>
      </c>
      <c r="Y71" s="917">
        <v>293304</v>
      </c>
      <c r="Z71" s="920">
        <v>272744</v>
      </c>
      <c r="AA71" s="917">
        <v>99059</v>
      </c>
      <c r="AB71" s="917">
        <v>36139</v>
      </c>
      <c r="AC71" s="917">
        <v>314186</v>
      </c>
      <c r="AD71" s="917">
        <v>116664</v>
      </c>
      <c r="AE71" s="917">
        <v>3247</v>
      </c>
      <c r="AF71" s="917">
        <v>6804</v>
      </c>
      <c r="AG71" s="917">
        <v>25</v>
      </c>
      <c r="AH71" s="917">
        <v>7</v>
      </c>
      <c r="AI71" s="917">
        <v>0</v>
      </c>
      <c r="AJ71" s="917">
        <v>0</v>
      </c>
      <c r="AK71" s="917">
        <v>50946</v>
      </c>
      <c r="AL71" s="917">
        <v>28554</v>
      </c>
      <c r="AM71" s="917">
        <v>53914</v>
      </c>
      <c r="AN71" s="917">
        <v>566048</v>
      </c>
      <c r="AO71" s="918">
        <v>46023</v>
      </c>
      <c r="AP71" s="918">
        <v>46387</v>
      </c>
      <c r="AQ71" s="919" t="s">
        <v>2605</v>
      </c>
      <c r="AR71" s="107"/>
      <c r="AS71" s="107"/>
      <c r="AT71" s="107"/>
      <c r="AU71" s="107"/>
      <c r="AV71" s="107"/>
      <c r="AW71" s="107"/>
      <c r="AX71" s="107"/>
      <c r="AY71" s="107"/>
      <c r="AZ71" s="107"/>
      <c r="BA71" s="107"/>
      <c r="BB71" s="107"/>
      <c r="BC71" s="107"/>
      <c r="BD71" s="107"/>
      <c r="BE71" s="107"/>
      <c r="BF71" s="107"/>
    </row>
    <row r="72" spans="1:58" s="16" customFormat="1" ht="55.5" hidden="1" customHeight="1">
      <c r="A72" s="906">
        <v>1</v>
      </c>
      <c r="B72" s="907" t="s">
        <v>513</v>
      </c>
      <c r="C72" s="906">
        <v>19</v>
      </c>
      <c r="D72" s="908" t="s">
        <v>1559</v>
      </c>
      <c r="E72" s="906">
        <v>1906</v>
      </c>
      <c r="F72" s="908" t="s">
        <v>1730</v>
      </c>
      <c r="G72" s="909">
        <v>1906001</v>
      </c>
      <c r="H72" s="908" t="s">
        <v>2762</v>
      </c>
      <c r="I72" s="909">
        <v>190600100</v>
      </c>
      <c r="J72" s="908" t="s">
        <v>2762</v>
      </c>
      <c r="K72" s="910">
        <v>2</v>
      </c>
      <c r="L72" s="910"/>
      <c r="M72" s="128">
        <f>+K72+L72</f>
        <v>2</v>
      </c>
      <c r="N72" s="911">
        <v>2024003630136</v>
      </c>
      <c r="O72" s="907" t="s">
        <v>2763</v>
      </c>
      <c r="P72" s="912" t="s">
        <v>2764</v>
      </c>
      <c r="Q72" s="901">
        <v>35000000</v>
      </c>
      <c r="R72" s="913"/>
      <c r="S72" s="914"/>
      <c r="T72" s="914"/>
      <c r="U72" s="328">
        <f t="shared" si="1"/>
        <v>35000000</v>
      </c>
      <c r="V72" s="915" t="s">
        <v>2765</v>
      </c>
      <c r="W72" s="916">
        <v>20</v>
      </c>
      <c r="X72" s="916" t="s">
        <v>67</v>
      </c>
      <c r="Y72" s="917">
        <v>293304</v>
      </c>
      <c r="Z72" s="920">
        <v>272744</v>
      </c>
      <c r="AA72" s="917">
        <v>99059</v>
      </c>
      <c r="AB72" s="917">
        <v>36139</v>
      </c>
      <c r="AC72" s="917">
        <v>314186</v>
      </c>
      <c r="AD72" s="917">
        <v>116664</v>
      </c>
      <c r="AE72" s="917">
        <v>3247</v>
      </c>
      <c r="AF72" s="917">
        <v>6804</v>
      </c>
      <c r="AG72" s="917">
        <v>25</v>
      </c>
      <c r="AH72" s="917">
        <v>7</v>
      </c>
      <c r="AI72" s="917">
        <v>0</v>
      </c>
      <c r="AJ72" s="917">
        <v>0</v>
      </c>
      <c r="AK72" s="917">
        <v>50946</v>
      </c>
      <c r="AL72" s="917">
        <v>28554</v>
      </c>
      <c r="AM72" s="917">
        <v>53914</v>
      </c>
      <c r="AN72" s="917">
        <v>566048</v>
      </c>
      <c r="AO72" s="918">
        <v>46023</v>
      </c>
      <c r="AP72" s="918">
        <v>46387</v>
      </c>
      <c r="AQ72" s="919" t="s">
        <v>2605</v>
      </c>
      <c r="AR72" s="107"/>
      <c r="AS72" s="107"/>
      <c r="AT72" s="107"/>
      <c r="AU72" s="107"/>
      <c r="AV72" s="107"/>
      <c r="AW72" s="107"/>
      <c r="AX72" s="107"/>
      <c r="AY72" s="107"/>
      <c r="AZ72" s="107"/>
      <c r="BA72" s="107"/>
      <c r="BB72" s="107"/>
      <c r="BC72" s="107"/>
      <c r="BD72" s="107"/>
      <c r="BE72" s="107"/>
      <c r="BF72" s="107"/>
    </row>
    <row r="73" spans="1:58" s="16" customFormat="1" ht="55.5" hidden="1" customHeight="1">
      <c r="A73" s="906">
        <v>1</v>
      </c>
      <c r="B73" s="907" t="s">
        <v>513</v>
      </c>
      <c r="C73" s="906">
        <v>19</v>
      </c>
      <c r="D73" s="908" t="s">
        <v>1559</v>
      </c>
      <c r="E73" s="906">
        <v>1906</v>
      </c>
      <c r="F73" s="908" t="s">
        <v>1730</v>
      </c>
      <c r="G73" s="909">
        <v>1906001</v>
      </c>
      <c r="H73" s="908" t="s">
        <v>2762</v>
      </c>
      <c r="I73" s="909">
        <v>190600100</v>
      </c>
      <c r="J73" s="908" t="s">
        <v>2762</v>
      </c>
      <c r="K73" s="910">
        <v>2</v>
      </c>
      <c r="L73" s="910"/>
      <c r="M73" s="128">
        <f t="shared" ref="M73:M85" si="3">+K73+L73</f>
        <v>2</v>
      </c>
      <c r="N73" s="911">
        <v>2024003630136</v>
      </c>
      <c r="O73" s="907" t="s">
        <v>2763</v>
      </c>
      <c r="P73" s="912" t="s">
        <v>2766</v>
      </c>
      <c r="Q73" s="901">
        <v>15000000</v>
      </c>
      <c r="R73" s="913">
        <f>4400000+4400000</f>
        <v>8800000</v>
      </c>
      <c r="S73" s="914"/>
      <c r="T73" s="914"/>
      <c r="U73" s="328">
        <f t="shared" si="1"/>
        <v>6200000</v>
      </c>
      <c r="V73" s="915" t="s">
        <v>2767</v>
      </c>
      <c r="W73" s="916">
        <v>20</v>
      </c>
      <c r="X73" s="916" t="s">
        <v>67</v>
      </c>
      <c r="Y73" s="917">
        <v>293304</v>
      </c>
      <c r="Z73" s="920">
        <v>272744</v>
      </c>
      <c r="AA73" s="917">
        <v>99059</v>
      </c>
      <c r="AB73" s="917">
        <v>36139</v>
      </c>
      <c r="AC73" s="917">
        <v>314186</v>
      </c>
      <c r="AD73" s="917">
        <v>116664</v>
      </c>
      <c r="AE73" s="917">
        <v>3247</v>
      </c>
      <c r="AF73" s="917">
        <v>6804</v>
      </c>
      <c r="AG73" s="917">
        <v>25</v>
      </c>
      <c r="AH73" s="917">
        <v>7</v>
      </c>
      <c r="AI73" s="917">
        <v>0</v>
      </c>
      <c r="AJ73" s="917">
        <v>0</v>
      </c>
      <c r="AK73" s="917">
        <v>50946</v>
      </c>
      <c r="AL73" s="917">
        <v>28554</v>
      </c>
      <c r="AM73" s="917">
        <v>53914</v>
      </c>
      <c r="AN73" s="917">
        <v>566048</v>
      </c>
      <c r="AO73" s="918">
        <v>46023</v>
      </c>
      <c r="AP73" s="918">
        <v>46387</v>
      </c>
      <c r="AQ73" s="919" t="s">
        <v>2605</v>
      </c>
      <c r="AR73" s="107"/>
      <c r="AS73" s="107"/>
      <c r="AT73" s="107"/>
      <c r="AU73" s="107"/>
      <c r="AV73" s="107"/>
      <c r="AW73" s="107"/>
      <c r="AX73" s="107"/>
      <c r="AY73" s="107"/>
      <c r="AZ73" s="107"/>
      <c r="BA73" s="107"/>
      <c r="BB73" s="107"/>
      <c r="BC73" s="107"/>
      <c r="BD73" s="107"/>
      <c r="BE73" s="107"/>
      <c r="BF73" s="107"/>
    </row>
    <row r="74" spans="1:58" s="16" customFormat="1" ht="55.5" hidden="1" customHeight="1">
      <c r="A74" s="906">
        <v>1</v>
      </c>
      <c r="B74" s="907" t="s">
        <v>513</v>
      </c>
      <c r="C74" s="906">
        <v>19</v>
      </c>
      <c r="D74" s="908" t="s">
        <v>1559</v>
      </c>
      <c r="E74" s="906">
        <v>1906</v>
      </c>
      <c r="F74" s="908" t="s">
        <v>1730</v>
      </c>
      <c r="G74" s="909">
        <v>1906008</v>
      </c>
      <c r="H74" s="908" t="s">
        <v>2768</v>
      </c>
      <c r="I74" s="909">
        <v>190600800</v>
      </c>
      <c r="J74" s="908" t="s">
        <v>2769</v>
      </c>
      <c r="K74" s="910">
        <v>1</v>
      </c>
      <c r="L74" s="910"/>
      <c r="M74" s="128">
        <f t="shared" si="3"/>
        <v>1</v>
      </c>
      <c r="N74" s="911">
        <v>2024003630136</v>
      </c>
      <c r="O74" s="907" t="s">
        <v>2763</v>
      </c>
      <c r="P74" s="912" t="s">
        <v>2770</v>
      </c>
      <c r="Q74" s="901">
        <v>20000000</v>
      </c>
      <c r="R74" s="913"/>
      <c r="S74" s="914"/>
      <c r="T74" s="914"/>
      <c r="U74" s="328">
        <f t="shared" si="1"/>
        <v>20000000</v>
      </c>
      <c r="V74" s="915" t="s">
        <v>2771</v>
      </c>
      <c r="W74" s="916">
        <v>20</v>
      </c>
      <c r="X74" s="916" t="s">
        <v>67</v>
      </c>
      <c r="Y74" s="917">
        <v>293304</v>
      </c>
      <c r="Z74" s="920">
        <v>272744</v>
      </c>
      <c r="AA74" s="917">
        <v>99059</v>
      </c>
      <c r="AB74" s="917">
        <v>36139</v>
      </c>
      <c r="AC74" s="917">
        <v>314186</v>
      </c>
      <c r="AD74" s="917">
        <v>116664</v>
      </c>
      <c r="AE74" s="917">
        <v>3247</v>
      </c>
      <c r="AF74" s="917">
        <v>6804</v>
      </c>
      <c r="AG74" s="917">
        <v>25</v>
      </c>
      <c r="AH74" s="917">
        <v>7</v>
      </c>
      <c r="AI74" s="917">
        <v>0</v>
      </c>
      <c r="AJ74" s="917">
        <v>0</v>
      </c>
      <c r="AK74" s="917">
        <v>50946</v>
      </c>
      <c r="AL74" s="917">
        <v>28554</v>
      </c>
      <c r="AM74" s="917">
        <v>53914</v>
      </c>
      <c r="AN74" s="917">
        <v>566048</v>
      </c>
      <c r="AO74" s="918">
        <v>46023</v>
      </c>
      <c r="AP74" s="918">
        <v>46387</v>
      </c>
      <c r="AQ74" s="919" t="s">
        <v>2605</v>
      </c>
      <c r="AR74" s="107"/>
      <c r="AS74" s="107"/>
      <c r="AT74" s="107"/>
      <c r="AU74" s="107"/>
      <c r="AV74" s="107"/>
      <c r="AW74" s="107"/>
      <c r="AX74" s="107"/>
      <c r="AY74" s="107"/>
      <c r="AZ74" s="107"/>
      <c r="BA74" s="107"/>
      <c r="BB74" s="107"/>
      <c r="BC74" s="107"/>
      <c r="BD74" s="107"/>
      <c r="BE74" s="107"/>
      <c r="BF74" s="107"/>
    </row>
    <row r="75" spans="1:58" s="16" customFormat="1" ht="55.5" hidden="1" customHeight="1">
      <c r="A75" s="906">
        <v>1</v>
      </c>
      <c r="B75" s="907" t="s">
        <v>513</v>
      </c>
      <c r="C75" s="906">
        <v>19</v>
      </c>
      <c r="D75" s="908" t="s">
        <v>1559</v>
      </c>
      <c r="E75" s="906">
        <v>1906</v>
      </c>
      <c r="F75" s="908" t="s">
        <v>1730</v>
      </c>
      <c r="G75" s="909">
        <v>1906008</v>
      </c>
      <c r="H75" s="908" t="s">
        <v>2768</v>
      </c>
      <c r="I75" s="909">
        <v>190600800</v>
      </c>
      <c r="J75" s="908" t="s">
        <v>2769</v>
      </c>
      <c r="K75" s="910">
        <v>1</v>
      </c>
      <c r="L75" s="910"/>
      <c r="M75" s="128">
        <f t="shared" si="3"/>
        <v>1</v>
      </c>
      <c r="N75" s="911">
        <v>2024003630136</v>
      </c>
      <c r="O75" s="907" t="s">
        <v>2763</v>
      </c>
      <c r="P75" s="912" t="s">
        <v>2772</v>
      </c>
      <c r="Q75" s="901">
        <v>10000000</v>
      </c>
      <c r="R75" s="913">
        <f>4800000+5200000</f>
        <v>10000000</v>
      </c>
      <c r="S75" s="914"/>
      <c r="T75" s="914"/>
      <c r="U75" s="328">
        <f>+Q75-R75+S75+T75</f>
        <v>0</v>
      </c>
      <c r="V75" s="915" t="s">
        <v>2773</v>
      </c>
      <c r="W75" s="916">
        <v>20</v>
      </c>
      <c r="X75" s="916" t="s">
        <v>67</v>
      </c>
      <c r="Y75" s="917">
        <v>293304</v>
      </c>
      <c r="Z75" s="920">
        <v>272744</v>
      </c>
      <c r="AA75" s="917">
        <v>99059</v>
      </c>
      <c r="AB75" s="917">
        <v>36139</v>
      </c>
      <c r="AC75" s="917">
        <v>314186</v>
      </c>
      <c r="AD75" s="917">
        <v>116664</v>
      </c>
      <c r="AE75" s="917">
        <v>3247</v>
      </c>
      <c r="AF75" s="917">
        <v>6804</v>
      </c>
      <c r="AG75" s="917">
        <v>25</v>
      </c>
      <c r="AH75" s="917">
        <v>7</v>
      </c>
      <c r="AI75" s="917">
        <v>0</v>
      </c>
      <c r="AJ75" s="917">
        <v>0</v>
      </c>
      <c r="AK75" s="917">
        <v>50946</v>
      </c>
      <c r="AL75" s="917">
        <v>28554</v>
      </c>
      <c r="AM75" s="917">
        <v>53914</v>
      </c>
      <c r="AN75" s="917">
        <v>566048</v>
      </c>
      <c r="AO75" s="918">
        <v>46023</v>
      </c>
      <c r="AP75" s="918">
        <v>46387</v>
      </c>
      <c r="AQ75" s="919" t="s">
        <v>2605</v>
      </c>
      <c r="AR75" s="107"/>
      <c r="AS75" s="107"/>
      <c r="AT75" s="107"/>
      <c r="AU75" s="107"/>
      <c r="AV75" s="107"/>
      <c r="AW75" s="107"/>
      <c r="AX75" s="107"/>
      <c r="AY75" s="107"/>
      <c r="AZ75" s="107"/>
      <c r="BA75" s="107"/>
      <c r="BB75" s="107"/>
      <c r="BC75" s="107"/>
      <c r="BD75" s="107"/>
      <c r="BE75" s="107"/>
      <c r="BF75" s="107"/>
    </row>
    <row r="76" spans="1:58" s="16" customFormat="1" ht="55.5" hidden="1" customHeight="1">
      <c r="A76" s="906">
        <v>1</v>
      </c>
      <c r="B76" s="907" t="s">
        <v>513</v>
      </c>
      <c r="C76" s="906">
        <v>41</v>
      </c>
      <c r="D76" s="908" t="s">
        <v>1354</v>
      </c>
      <c r="E76" s="906">
        <v>4104</v>
      </c>
      <c r="F76" s="908" t="s">
        <v>1390</v>
      </c>
      <c r="G76" s="909" t="s">
        <v>2774</v>
      </c>
      <c r="H76" s="908" t="s">
        <v>2775</v>
      </c>
      <c r="I76" s="909">
        <v>410400900</v>
      </c>
      <c r="J76" s="908" t="s">
        <v>2776</v>
      </c>
      <c r="K76" s="910">
        <v>2</v>
      </c>
      <c r="L76" s="910"/>
      <c r="M76" s="128">
        <f t="shared" si="3"/>
        <v>2</v>
      </c>
      <c r="N76" s="911">
        <v>2024003630137</v>
      </c>
      <c r="O76" s="907" t="s">
        <v>2777</v>
      </c>
      <c r="P76" s="912" t="s">
        <v>2778</v>
      </c>
      <c r="Q76" s="901">
        <v>100000000</v>
      </c>
      <c r="R76" s="913"/>
      <c r="S76" s="914"/>
      <c r="T76" s="914"/>
      <c r="U76" s="328">
        <f t="shared" si="1"/>
        <v>100000000</v>
      </c>
      <c r="V76" s="915" t="s">
        <v>2779</v>
      </c>
      <c r="W76" s="916">
        <v>20</v>
      </c>
      <c r="X76" s="916" t="s">
        <v>67</v>
      </c>
      <c r="Y76" s="917">
        <v>293304</v>
      </c>
      <c r="Z76" s="920">
        <v>272744</v>
      </c>
      <c r="AA76" s="917">
        <v>99059</v>
      </c>
      <c r="AB76" s="917">
        <v>36139</v>
      </c>
      <c r="AC76" s="917">
        <v>314186</v>
      </c>
      <c r="AD76" s="917">
        <v>116664</v>
      </c>
      <c r="AE76" s="917">
        <v>3247</v>
      </c>
      <c r="AF76" s="917">
        <v>6804</v>
      </c>
      <c r="AG76" s="917">
        <v>25</v>
      </c>
      <c r="AH76" s="917">
        <v>7</v>
      </c>
      <c r="AI76" s="917">
        <v>0</v>
      </c>
      <c r="AJ76" s="917">
        <v>0</v>
      </c>
      <c r="AK76" s="917">
        <v>50946</v>
      </c>
      <c r="AL76" s="917">
        <v>28554</v>
      </c>
      <c r="AM76" s="917">
        <v>53914</v>
      </c>
      <c r="AN76" s="917">
        <v>566048</v>
      </c>
      <c r="AO76" s="918">
        <v>46023</v>
      </c>
      <c r="AP76" s="918">
        <v>46387</v>
      </c>
      <c r="AQ76" s="919" t="s">
        <v>2605</v>
      </c>
      <c r="AR76" s="107"/>
      <c r="AS76" s="107"/>
      <c r="AT76" s="107"/>
      <c r="AU76" s="107"/>
      <c r="AV76" s="107"/>
      <c r="AW76" s="107"/>
      <c r="AX76" s="107"/>
      <c r="AY76" s="107"/>
      <c r="AZ76" s="107"/>
      <c r="BA76" s="107"/>
      <c r="BB76" s="107"/>
      <c r="BC76" s="107"/>
      <c r="BD76" s="107"/>
      <c r="BE76" s="107"/>
      <c r="BF76" s="107"/>
    </row>
    <row r="77" spans="1:58" s="16" customFormat="1" ht="55.5" hidden="1" customHeight="1">
      <c r="A77" s="906">
        <v>3</v>
      </c>
      <c r="B77" s="907" t="s">
        <v>892</v>
      </c>
      <c r="C77" s="906">
        <v>24</v>
      </c>
      <c r="D77" s="908" t="s">
        <v>2450</v>
      </c>
      <c r="E77" s="906">
        <v>2402</v>
      </c>
      <c r="F77" s="908" t="s">
        <v>2304</v>
      </c>
      <c r="G77" s="909" t="s">
        <v>2780</v>
      </c>
      <c r="H77" s="908" t="s">
        <v>2781</v>
      </c>
      <c r="I77" s="909">
        <v>240211800</v>
      </c>
      <c r="J77" s="908" t="s">
        <v>2782</v>
      </c>
      <c r="K77" s="910">
        <v>2</v>
      </c>
      <c r="L77" s="910"/>
      <c r="M77" s="128">
        <f t="shared" si="3"/>
        <v>2</v>
      </c>
      <c r="N77" s="911">
        <v>2024003630138</v>
      </c>
      <c r="O77" s="907" t="s">
        <v>2783</v>
      </c>
      <c r="P77" s="912" t="s">
        <v>2784</v>
      </c>
      <c r="Q77" s="901">
        <v>180000000</v>
      </c>
      <c r="R77" s="913">
        <f>14999537+84997374+14999537</f>
        <v>114996448</v>
      </c>
      <c r="S77" s="914">
        <f>84997374</f>
        <v>84997374</v>
      </c>
      <c r="T77" s="914"/>
      <c r="U77" s="328">
        <f t="shared" si="1"/>
        <v>150000926</v>
      </c>
      <c r="V77" s="915" t="s">
        <v>2785</v>
      </c>
      <c r="W77" s="916">
        <v>20</v>
      </c>
      <c r="X77" s="916" t="s">
        <v>67</v>
      </c>
      <c r="Y77" s="917">
        <v>293304</v>
      </c>
      <c r="Z77" s="920">
        <v>272744</v>
      </c>
      <c r="AA77" s="917">
        <v>99059</v>
      </c>
      <c r="AB77" s="917">
        <v>36139</v>
      </c>
      <c r="AC77" s="917">
        <v>314186</v>
      </c>
      <c r="AD77" s="917">
        <v>116664</v>
      </c>
      <c r="AE77" s="917">
        <v>3247</v>
      </c>
      <c r="AF77" s="917">
        <v>6804</v>
      </c>
      <c r="AG77" s="917">
        <v>25</v>
      </c>
      <c r="AH77" s="917">
        <v>7</v>
      </c>
      <c r="AI77" s="917">
        <v>0</v>
      </c>
      <c r="AJ77" s="917">
        <v>0</v>
      </c>
      <c r="AK77" s="917">
        <v>50946</v>
      </c>
      <c r="AL77" s="917">
        <v>28554</v>
      </c>
      <c r="AM77" s="917">
        <v>53914</v>
      </c>
      <c r="AN77" s="917">
        <v>566048</v>
      </c>
      <c r="AO77" s="918">
        <v>46023</v>
      </c>
      <c r="AP77" s="918">
        <v>46387</v>
      </c>
      <c r="AQ77" s="919" t="s">
        <v>2605</v>
      </c>
      <c r="AR77" s="107"/>
      <c r="AS77" s="107"/>
      <c r="AT77" s="107"/>
      <c r="AU77" s="107"/>
      <c r="AV77" s="107"/>
      <c r="AW77" s="107"/>
      <c r="AX77" s="107"/>
      <c r="AY77" s="107"/>
      <c r="AZ77" s="107"/>
      <c r="BA77" s="107"/>
      <c r="BB77" s="107"/>
      <c r="BC77" s="107"/>
      <c r="BD77" s="107"/>
      <c r="BE77" s="107"/>
      <c r="BF77" s="107"/>
    </row>
    <row r="78" spans="1:58" s="16" customFormat="1" ht="55.5" hidden="1" customHeight="1">
      <c r="A78" s="906">
        <v>2</v>
      </c>
      <c r="B78" s="907" t="s">
        <v>326</v>
      </c>
      <c r="C78" s="906">
        <v>32</v>
      </c>
      <c r="D78" s="908" t="s">
        <v>882</v>
      </c>
      <c r="E78" s="906">
        <v>3205</v>
      </c>
      <c r="F78" s="908" t="s">
        <v>389</v>
      </c>
      <c r="G78" s="909">
        <v>3205021</v>
      </c>
      <c r="H78" s="908" t="s">
        <v>2786</v>
      </c>
      <c r="I78" s="909">
        <v>320502100</v>
      </c>
      <c r="J78" s="908" t="s">
        <v>2787</v>
      </c>
      <c r="K78" s="910">
        <v>3</v>
      </c>
      <c r="L78" s="910"/>
      <c r="M78" s="128">
        <f t="shared" si="3"/>
        <v>3</v>
      </c>
      <c r="N78" s="911">
        <v>2024003630139</v>
      </c>
      <c r="O78" s="907" t="s">
        <v>2788</v>
      </c>
      <c r="P78" s="912" t="s">
        <v>2789</v>
      </c>
      <c r="Q78" s="901">
        <v>100000000</v>
      </c>
      <c r="R78" s="913">
        <v>100000000</v>
      </c>
      <c r="S78" s="914"/>
      <c r="T78" s="914"/>
      <c r="U78" s="328">
        <f t="shared" si="1"/>
        <v>0</v>
      </c>
      <c r="V78" s="915" t="s">
        <v>2790</v>
      </c>
      <c r="W78" s="916">
        <v>20</v>
      </c>
      <c r="X78" s="916" t="s">
        <v>67</v>
      </c>
      <c r="Y78" s="917">
        <v>293304</v>
      </c>
      <c r="Z78" s="920">
        <v>272744</v>
      </c>
      <c r="AA78" s="917">
        <v>99059</v>
      </c>
      <c r="AB78" s="917">
        <v>36139</v>
      </c>
      <c r="AC78" s="917">
        <v>314186</v>
      </c>
      <c r="AD78" s="917">
        <v>116664</v>
      </c>
      <c r="AE78" s="917">
        <v>3247</v>
      </c>
      <c r="AF78" s="917">
        <v>6804</v>
      </c>
      <c r="AG78" s="917">
        <v>25</v>
      </c>
      <c r="AH78" s="917">
        <v>7</v>
      </c>
      <c r="AI78" s="917">
        <v>0</v>
      </c>
      <c r="AJ78" s="917">
        <v>0</v>
      </c>
      <c r="AK78" s="917">
        <v>50946</v>
      </c>
      <c r="AL78" s="917">
        <v>28554</v>
      </c>
      <c r="AM78" s="917">
        <v>53914</v>
      </c>
      <c r="AN78" s="917">
        <v>566048</v>
      </c>
      <c r="AO78" s="918">
        <v>46023</v>
      </c>
      <c r="AP78" s="918">
        <v>46387</v>
      </c>
      <c r="AQ78" s="919" t="s">
        <v>2605</v>
      </c>
      <c r="AR78" s="107"/>
      <c r="AS78" s="107"/>
      <c r="AT78" s="107"/>
      <c r="AU78" s="107"/>
      <c r="AV78" s="107"/>
      <c r="AW78" s="107"/>
      <c r="AX78" s="107"/>
      <c r="AY78" s="107"/>
      <c r="AZ78" s="107"/>
      <c r="BA78" s="107"/>
      <c r="BB78" s="107"/>
      <c r="BC78" s="107"/>
      <c r="BD78" s="107"/>
      <c r="BE78" s="107"/>
      <c r="BF78" s="107"/>
    </row>
    <row r="79" spans="1:58" s="16" customFormat="1" ht="55.5" hidden="1" customHeight="1">
      <c r="A79" s="906">
        <v>3</v>
      </c>
      <c r="B79" s="907" t="s">
        <v>892</v>
      </c>
      <c r="C79" s="906">
        <v>40</v>
      </c>
      <c r="D79" s="908" t="s">
        <v>2610</v>
      </c>
      <c r="E79" s="906">
        <v>4001</v>
      </c>
      <c r="F79" s="908" t="s">
        <v>2317</v>
      </c>
      <c r="G79" s="909" t="s">
        <v>2791</v>
      </c>
      <c r="H79" s="908" t="s">
        <v>2333</v>
      </c>
      <c r="I79" s="909">
        <v>400104100</v>
      </c>
      <c r="J79" s="908" t="s">
        <v>2333</v>
      </c>
      <c r="K79" s="910">
        <v>5</v>
      </c>
      <c r="L79" s="910"/>
      <c r="M79" s="128">
        <f t="shared" si="3"/>
        <v>5</v>
      </c>
      <c r="N79" s="911">
        <v>2024003630140</v>
      </c>
      <c r="O79" s="907" t="s">
        <v>2792</v>
      </c>
      <c r="P79" s="912" t="s">
        <v>2793</v>
      </c>
      <c r="Q79" s="901">
        <v>180000000</v>
      </c>
      <c r="R79" s="913"/>
      <c r="S79" s="914"/>
      <c r="T79" s="914"/>
      <c r="U79" s="328">
        <f t="shared" si="1"/>
        <v>180000000</v>
      </c>
      <c r="V79" s="915" t="s">
        <v>2794</v>
      </c>
      <c r="W79" s="916" t="s">
        <v>2795</v>
      </c>
      <c r="X79" s="916" t="s">
        <v>2285</v>
      </c>
      <c r="Y79" s="917"/>
      <c r="Z79" s="920"/>
      <c r="AA79" s="917">
        <v>99.058999999999997</v>
      </c>
      <c r="AB79" s="917">
        <v>36139</v>
      </c>
      <c r="AC79" s="917"/>
      <c r="AD79" s="917"/>
      <c r="AE79" s="917"/>
      <c r="AF79" s="917"/>
      <c r="AG79" s="917"/>
      <c r="AH79" s="917"/>
      <c r="AI79" s="917"/>
      <c r="AJ79" s="917"/>
      <c r="AK79" s="917"/>
      <c r="AL79" s="917"/>
      <c r="AM79" s="917"/>
      <c r="AN79" s="917">
        <v>135.19800000000001</v>
      </c>
      <c r="AO79" s="918">
        <v>46023</v>
      </c>
      <c r="AP79" s="918">
        <v>46387</v>
      </c>
      <c r="AQ79" s="919" t="s">
        <v>2605</v>
      </c>
      <c r="AR79" s="107"/>
      <c r="AS79" s="107"/>
      <c r="AT79" s="107"/>
      <c r="AU79" s="107"/>
      <c r="AV79" s="107"/>
      <c r="AW79" s="107"/>
      <c r="AX79" s="107"/>
      <c r="AY79" s="107"/>
      <c r="AZ79" s="107"/>
      <c r="BA79" s="107"/>
      <c r="BB79" s="107"/>
      <c r="BC79" s="107"/>
      <c r="BD79" s="107"/>
      <c r="BE79" s="107"/>
      <c r="BF79" s="107"/>
    </row>
    <row r="80" spans="1:58" s="16" customFormat="1" ht="55.5" hidden="1" customHeight="1">
      <c r="A80" s="906">
        <v>3</v>
      </c>
      <c r="B80" s="907" t="s">
        <v>892</v>
      </c>
      <c r="C80" s="906">
        <v>40</v>
      </c>
      <c r="D80" s="908" t="s">
        <v>2610</v>
      </c>
      <c r="E80" s="906">
        <v>4001</v>
      </c>
      <c r="F80" s="908" t="s">
        <v>2317</v>
      </c>
      <c r="G80" s="909" t="s">
        <v>2796</v>
      </c>
      <c r="H80" s="908" t="s">
        <v>2337</v>
      </c>
      <c r="I80" s="909">
        <v>400104400</v>
      </c>
      <c r="J80" s="908" t="s">
        <v>2337</v>
      </c>
      <c r="K80" s="910">
        <v>45</v>
      </c>
      <c r="L80" s="910"/>
      <c r="M80" s="128">
        <f t="shared" si="3"/>
        <v>45</v>
      </c>
      <c r="N80" s="911">
        <v>2024003630140</v>
      </c>
      <c r="O80" s="907" t="s">
        <v>2792</v>
      </c>
      <c r="P80" s="912" t="s">
        <v>2797</v>
      </c>
      <c r="Q80" s="901">
        <v>180000000</v>
      </c>
      <c r="R80" s="913"/>
      <c r="S80" s="914"/>
      <c r="T80" s="914"/>
      <c r="U80" s="328">
        <f t="shared" si="1"/>
        <v>180000000</v>
      </c>
      <c r="V80" s="915" t="s">
        <v>2798</v>
      </c>
      <c r="W80" s="916" t="s">
        <v>2795</v>
      </c>
      <c r="X80" s="916" t="s">
        <v>2285</v>
      </c>
      <c r="Y80" s="917"/>
      <c r="Z80" s="920"/>
      <c r="AA80" s="917">
        <v>99.058999999999997</v>
      </c>
      <c r="AB80" s="917">
        <v>36139</v>
      </c>
      <c r="AC80" s="917"/>
      <c r="AD80" s="917"/>
      <c r="AE80" s="917"/>
      <c r="AF80" s="917"/>
      <c r="AG80" s="917"/>
      <c r="AH80" s="917"/>
      <c r="AI80" s="917"/>
      <c r="AJ80" s="917"/>
      <c r="AK80" s="917"/>
      <c r="AL80" s="917"/>
      <c r="AM80" s="917"/>
      <c r="AN80" s="917">
        <v>135.19800000000001</v>
      </c>
      <c r="AO80" s="918">
        <v>46023</v>
      </c>
      <c r="AP80" s="918">
        <v>46387</v>
      </c>
      <c r="AQ80" s="919" t="s">
        <v>2605</v>
      </c>
      <c r="AR80" s="107"/>
      <c r="AS80" s="107"/>
      <c r="AT80" s="107"/>
      <c r="AU80" s="107"/>
      <c r="AV80" s="107"/>
      <c r="AW80" s="107"/>
      <c r="AX80" s="107"/>
      <c r="AY80" s="107"/>
      <c r="AZ80" s="107"/>
      <c r="BA80" s="107"/>
      <c r="BB80" s="107"/>
      <c r="BC80" s="107"/>
      <c r="BD80" s="107"/>
      <c r="BE80" s="107"/>
      <c r="BF80" s="107"/>
    </row>
    <row r="81" spans="1:58" s="16" customFormat="1" ht="55.5" hidden="1" customHeight="1">
      <c r="A81" s="906">
        <v>1</v>
      </c>
      <c r="B81" s="907" t="s">
        <v>513</v>
      </c>
      <c r="C81" s="906">
        <v>22</v>
      </c>
      <c r="D81" s="908" t="s">
        <v>1021</v>
      </c>
      <c r="E81" s="906">
        <v>2201</v>
      </c>
      <c r="F81" s="908" t="s">
        <v>379</v>
      </c>
      <c r="G81" s="909">
        <v>2201039</v>
      </c>
      <c r="H81" s="908" t="s">
        <v>2298</v>
      </c>
      <c r="I81" s="909">
        <v>220103900</v>
      </c>
      <c r="J81" s="908" t="s">
        <v>2299</v>
      </c>
      <c r="K81" s="910">
        <v>1</v>
      </c>
      <c r="L81" s="910"/>
      <c r="M81" s="128">
        <f t="shared" si="3"/>
        <v>1</v>
      </c>
      <c r="N81" s="911">
        <v>2024003630141</v>
      </c>
      <c r="O81" s="907" t="s">
        <v>2799</v>
      </c>
      <c r="P81" s="912" t="s">
        <v>2800</v>
      </c>
      <c r="Q81" s="901">
        <v>70000000</v>
      </c>
      <c r="R81" s="913"/>
      <c r="S81" s="914"/>
      <c r="T81" s="914"/>
      <c r="U81" s="328">
        <f t="shared" si="1"/>
        <v>70000000</v>
      </c>
      <c r="V81" s="915" t="s">
        <v>2801</v>
      </c>
      <c r="W81" s="916">
        <v>20</v>
      </c>
      <c r="X81" s="916" t="s">
        <v>67</v>
      </c>
      <c r="Y81" s="917">
        <v>293304</v>
      </c>
      <c r="Z81" s="920">
        <v>272744</v>
      </c>
      <c r="AA81" s="917">
        <v>99059</v>
      </c>
      <c r="AB81" s="917">
        <v>36139</v>
      </c>
      <c r="AC81" s="917">
        <v>314186</v>
      </c>
      <c r="AD81" s="917">
        <v>116664</v>
      </c>
      <c r="AE81" s="917">
        <v>3247</v>
      </c>
      <c r="AF81" s="917">
        <v>6804</v>
      </c>
      <c r="AG81" s="917">
        <v>25</v>
      </c>
      <c r="AH81" s="917">
        <v>7</v>
      </c>
      <c r="AI81" s="917">
        <v>0</v>
      </c>
      <c r="AJ81" s="917">
        <v>0</v>
      </c>
      <c r="AK81" s="917">
        <v>50946</v>
      </c>
      <c r="AL81" s="917">
        <v>28554</v>
      </c>
      <c r="AM81" s="917">
        <v>53914</v>
      </c>
      <c r="AN81" s="917">
        <v>566048</v>
      </c>
      <c r="AO81" s="918">
        <v>46023</v>
      </c>
      <c r="AP81" s="918">
        <v>46387</v>
      </c>
      <c r="AQ81" s="919" t="s">
        <v>2605</v>
      </c>
      <c r="AR81" s="107"/>
      <c r="AS81" s="107"/>
      <c r="AT81" s="107"/>
      <c r="AU81" s="107"/>
      <c r="AV81" s="107"/>
      <c r="AW81" s="107"/>
      <c r="AX81" s="107"/>
      <c r="AY81" s="107"/>
      <c r="AZ81" s="107"/>
      <c r="BA81" s="107"/>
      <c r="BB81" s="107"/>
      <c r="BC81" s="107"/>
      <c r="BD81" s="107"/>
      <c r="BE81" s="107"/>
      <c r="BF81" s="107"/>
    </row>
    <row r="82" spans="1:58" s="16" customFormat="1" ht="55.5" hidden="1" customHeight="1">
      <c r="A82" s="906">
        <v>1</v>
      </c>
      <c r="B82" s="907" t="s">
        <v>513</v>
      </c>
      <c r="C82" s="906">
        <v>43</v>
      </c>
      <c r="D82" s="908" t="s">
        <v>2634</v>
      </c>
      <c r="E82" s="906">
        <v>4301</v>
      </c>
      <c r="F82" s="908" t="s">
        <v>2279</v>
      </c>
      <c r="G82" s="909">
        <v>4301031</v>
      </c>
      <c r="H82" s="908" t="s">
        <v>2289</v>
      </c>
      <c r="I82" s="909">
        <v>430103100</v>
      </c>
      <c r="J82" s="908" t="s">
        <v>2290</v>
      </c>
      <c r="K82" s="910">
        <v>1</v>
      </c>
      <c r="L82" s="910"/>
      <c r="M82" s="128">
        <f t="shared" si="3"/>
        <v>1</v>
      </c>
      <c r="N82" s="911">
        <v>2024003630142</v>
      </c>
      <c r="O82" s="907" t="s">
        <v>2802</v>
      </c>
      <c r="P82" s="912" t="s">
        <v>2803</v>
      </c>
      <c r="Q82" s="901">
        <v>70000000</v>
      </c>
      <c r="R82" s="913"/>
      <c r="S82" s="914"/>
      <c r="T82" s="914"/>
      <c r="U82" s="328">
        <f t="shared" si="1"/>
        <v>70000000</v>
      </c>
      <c r="V82" s="915" t="s">
        <v>2804</v>
      </c>
      <c r="W82" s="916">
        <v>20</v>
      </c>
      <c r="X82" s="916" t="s">
        <v>67</v>
      </c>
      <c r="Y82" s="917"/>
      <c r="Z82" s="920"/>
      <c r="AA82" s="917">
        <v>99.058999999999997</v>
      </c>
      <c r="AB82" s="917">
        <v>36139</v>
      </c>
      <c r="AC82" s="917"/>
      <c r="AD82" s="917"/>
      <c r="AE82" s="917"/>
      <c r="AF82" s="917"/>
      <c r="AG82" s="917"/>
      <c r="AH82" s="917"/>
      <c r="AI82" s="917"/>
      <c r="AJ82" s="917"/>
      <c r="AK82" s="917"/>
      <c r="AL82" s="917"/>
      <c r="AM82" s="917"/>
      <c r="AN82" s="917">
        <v>135.19800000000001</v>
      </c>
      <c r="AO82" s="918">
        <v>46023</v>
      </c>
      <c r="AP82" s="918">
        <v>46387</v>
      </c>
      <c r="AQ82" s="919" t="s">
        <v>2605</v>
      </c>
      <c r="AR82" s="107"/>
      <c r="AS82" s="107"/>
      <c r="AT82" s="107"/>
      <c r="AU82" s="107"/>
      <c r="AV82" s="107"/>
      <c r="AW82" s="107"/>
      <c r="AX82" s="107"/>
      <c r="AY82" s="107"/>
      <c r="AZ82" s="107"/>
      <c r="BA82" s="107"/>
      <c r="BB82" s="107"/>
      <c r="BC82" s="107"/>
      <c r="BD82" s="107"/>
      <c r="BE82" s="107"/>
      <c r="BF82" s="107"/>
    </row>
    <row r="83" spans="1:58" s="16" customFormat="1" ht="81" hidden="1" customHeight="1">
      <c r="A83" s="906">
        <v>1</v>
      </c>
      <c r="B83" s="907" t="s">
        <v>513</v>
      </c>
      <c r="C83" s="906">
        <v>41</v>
      </c>
      <c r="D83" s="908" t="s">
        <v>1354</v>
      </c>
      <c r="E83" s="906">
        <v>4103</v>
      </c>
      <c r="F83" s="908" t="s">
        <v>2805</v>
      </c>
      <c r="G83" s="909">
        <v>4103025</v>
      </c>
      <c r="H83" s="908" t="s">
        <v>2806</v>
      </c>
      <c r="I83" s="909">
        <v>410302500</v>
      </c>
      <c r="J83" s="908" t="s">
        <v>2806</v>
      </c>
      <c r="K83" s="910">
        <v>1</v>
      </c>
      <c r="L83" s="910"/>
      <c r="M83" s="128">
        <f t="shared" si="3"/>
        <v>1</v>
      </c>
      <c r="N83" s="911">
        <v>2024003630143</v>
      </c>
      <c r="O83" s="928" t="s">
        <v>2807</v>
      </c>
      <c r="P83" s="912" t="s">
        <v>2808</v>
      </c>
      <c r="Q83" s="901">
        <v>500000000</v>
      </c>
      <c r="R83" s="913"/>
      <c r="S83" s="914"/>
      <c r="T83" s="914"/>
      <c r="U83" s="328">
        <f t="shared" si="1"/>
        <v>500000000</v>
      </c>
      <c r="V83" s="915" t="s">
        <v>2809</v>
      </c>
      <c r="W83" s="916">
        <v>20</v>
      </c>
      <c r="X83" s="916" t="s">
        <v>67</v>
      </c>
      <c r="Y83" s="917">
        <v>293304</v>
      </c>
      <c r="Z83" s="920">
        <v>272744</v>
      </c>
      <c r="AA83" s="917">
        <v>99059</v>
      </c>
      <c r="AB83" s="917">
        <v>36139</v>
      </c>
      <c r="AC83" s="917">
        <v>314186</v>
      </c>
      <c r="AD83" s="917">
        <v>116664</v>
      </c>
      <c r="AE83" s="917">
        <v>3247</v>
      </c>
      <c r="AF83" s="917">
        <v>6804</v>
      </c>
      <c r="AG83" s="917">
        <v>25</v>
      </c>
      <c r="AH83" s="917">
        <v>7</v>
      </c>
      <c r="AI83" s="917">
        <v>0</v>
      </c>
      <c r="AJ83" s="917">
        <v>0</v>
      </c>
      <c r="AK83" s="917">
        <v>50946</v>
      </c>
      <c r="AL83" s="917">
        <v>28554</v>
      </c>
      <c r="AM83" s="917">
        <v>53914</v>
      </c>
      <c r="AN83" s="917">
        <v>566048</v>
      </c>
      <c r="AO83" s="918">
        <v>46023</v>
      </c>
      <c r="AP83" s="918">
        <v>46387</v>
      </c>
      <c r="AQ83" s="919" t="s">
        <v>2605</v>
      </c>
      <c r="AR83" s="107"/>
      <c r="AS83" s="107"/>
      <c r="AT83" s="107"/>
      <c r="AU83" s="107"/>
      <c r="AV83" s="107"/>
      <c r="AW83" s="107"/>
      <c r="AX83" s="107"/>
      <c r="AY83" s="107"/>
      <c r="AZ83" s="107"/>
      <c r="BA83" s="107"/>
      <c r="BB83" s="107"/>
      <c r="BC83" s="107"/>
      <c r="BD83" s="107"/>
      <c r="BE83" s="107"/>
      <c r="BF83" s="107"/>
    </row>
    <row r="84" spans="1:58" s="16" customFormat="1" ht="55.5" hidden="1" customHeight="1">
      <c r="A84" s="906">
        <v>1</v>
      </c>
      <c r="B84" s="907" t="s">
        <v>513</v>
      </c>
      <c r="C84" s="906">
        <v>41</v>
      </c>
      <c r="D84" s="908" t="s">
        <v>1354</v>
      </c>
      <c r="E84" s="906">
        <v>4103</v>
      </c>
      <c r="F84" s="908" t="s">
        <v>2805</v>
      </c>
      <c r="G84" s="909">
        <v>4103025</v>
      </c>
      <c r="H84" s="908" t="s">
        <v>2806</v>
      </c>
      <c r="I84" s="909">
        <v>410302500</v>
      </c>
      <c r="J84" s="908" t="s">
        <v>2806</v>
      </c>
      <c r="K84" s="910">
        <v>3</v>
      </c>
      <c r="L84" s="910"/>
      <c r="M84" s="128">
        <f t="shared" si="3"/>
        <v>3</v>
      </c>
      <c r="N84" s="911">
        <v>2024003630143</v>
      </c>
      <c r="O84" s="928" t="s">
        <v>2807</v>
      </c>
      <c r="P84" s="912" t="s">
        <v>2810</v>
      </c>
      <c r="Q84" s="901">
        <v>1500000000</v>
      </c>
      <c r="R84" s="913"/>
      <c r="S84" s="914"/>
      <c r="T84" s="914"/>
      <c r="U84" s="328">
        <f t="shared" ref="U84:U94" si="4">+Q84-R84+S84+T84</f>
        <v>1500000000</v>
      </c>
      <c r="V84" s="915" t="s">
        <v>2811</v>
      </c>
      <c r="W84" s="916">
        <v>46</v>
      </c>
      <c r="X84" s="916" t="s">
        <v>2604</v>
      </c>
      <c r="Y84" s="917">
        <v>293304</v>
      </c>
      <c r="Z84" s="920">
        <v>272744</v>
      </c>
      <c r="AA84" s="917">
        <v>99059</v>
      </c>
      <c r="AB84" s="917">
        <v>36139</v>
      </c>
      <c r="AC84" s="917">
        <v>314186</v>
      </c>
      <c r="AD84" s="917">
        <v>116664</v>
      </c>
      <c r="AE84" s="917">
        <v>3247</v>
      </c>
      <c r="AF84" s="917">
        <v>6804</v>
      </c>
      <c r="AG84" s="917">
        <v>25</v>
      </c>
      <c r="AH84" s="917">
        <v>7</v>
      </c>
      <c r="AI84" s="917">
        <v>0</v>
      </c>
      <c r="AJ84" s="917">
        <v>0</v>
      </c>
      <c r="AK84" s="917">
        <v>50946</v>
      </c>
      <c r="AL84" s="917">
        <v>28554</v>
      </c>
      <c r="AM84" s="917">
        <v>53914</v>
      </c>
      <c r="AN84" s="917">
        <v>566048</v>
      </c>
      <c r="AO84" s="918">
        <v>46023</v>
      </c>
      <c r="AP84" s="918">
        <v>46387</v>
      </c>
      <c r="AQ84" s="919" t="s">
        <v>2605</v>
      </c>
      <c r="AR84" s="107"/>
      <c r="AS84" s="107"/>
      <c r="AT84" s="107"/>
      <c r="AU84" s="107"/>
      <c r="AV84" s="107"/>
      <c r="AW84" s="107"/>
      <c r="AX84" s="107"/>
      <c r="AY84" s="107"/>
      <c r="AZ84" s="107"/>
      <c r="BA84" s="107"/>
      <c r="BB84" s="107"/>
      <c r="BC84" s="107"/>
      <c r="BD84" s="107"/>
      <c r="BE84" s="107"/>
      <c r="BF84" s="107"/>
    </row>
    <row r="85" spans="1:58" s="16" customFormat="1" ht="55.5" hidden="1" customHeight="1">
      <c r="A85" s="906">
        <v>1</v>
      </c>
      <c r="B85" s="907" t="s">
        <v>513</v>
      </c>
      <c r="C85" s="906">
        <v>41</v>
      </c>
      <c r="D85" s="908" t="s">
        <v>1354</v>
      </c>
      <c r="E85" s="906">
        <v>4103</v>
      </c>
      <c r="F85" s="908" t="s">
        <v>2805</v>
      </c>
      <c r="G85" s="909">
        <v>4103027</v>
      </c>
      <c r="H85" s="908" t="s">
        <v>2812</v>
      </c>
      <c r="I85" s="909">
        <v>410302700</v>
      </c>
      <c r="J85" s="908" t="s">
        <v>2812</v>
      </c>
      <c r="K85" s="910">
        <v>3</v>
      </c>
      <c r="L85" s="910"/>
      <c r="M85" s="128">
        <f t="shared" si="3"/>
        <v>3</v>
      </c>
      <c r="N85" s="911">
        <v>2024003630143</v>
      </c>
      <c r="O85" s="928" t="s">
        <v>2807</v>
      </c>
      <c r="P85" s="912" t="s">
        <v>2813</v>
      </c>
      <c r="Q85" s="901">
        <v>100000000</v>
      </c>
      <c r="R85" s="913"/>
      <c r="S85" s="914"/>
      <c r="T85" s="914"/>
      <c r="U85" s="328">
        <f t="shared" si="4"/>
        <v>100000000</v>
      </c>
      <c r="V85" s="915" t="s">
        <v>2814</v>
      </c>
      <c r="W85" s="916">
        <v>20</v>
      </c>
      <c r="X85" s="916" t="s">
        <v>67</v>
      </c>
      <c r="Y85" s="917">
        <v>293304</v>
      </c>
      <c r="Z85" s="920">
        <v>272744</v>
      </c>
      <c r="AA85" s="917">
        <v>99059</v>
      </c>
      <c r="AB85" s="917">
        <v>36139</v>
      </c>
      <c r="AC85" s="917">
        <v>314186</v>
      </c>
      <c r="AD85" s="917">
        <v>116664</v>
      </c>
      <c r="AE85" s="917">
        <v>3247</v>
      </c>
      <c r="AF85" s="917">
        <v>6804</v>
      </c>
      <c r="AG85" s="917">
        <v>25</v>
      </c>
      <c r="AH85" s="917">
        <v>7</v>
      </c>
      <c r="AI85" s="917">
        <v>0</v>
      </c>
      <c r="AJ85" s="917">
        <v>0</v>
      </c>
      <c r="AK85" s="917">
        <v>50946</v>
      </c>
      <c r="AL85" s="917">
        <v>28554</v>
      </c>
      <c r="AM85" s="917">
        <v>53914</v>
      </c>
      <c r="AN85" s="917">
        <v>566048</v>
      </c>
      <c r="AO85" s="918">
        <v>46023</v>
      </c>
      <c r="AP85" s="918">
        <v>46387</v>
      </c>
      <c r="AQ85" s="919" t="s">
        <v>2605</v>
      </c>
      <c r="AR85" s="107"/>
      <c r="AS85" s="107"/>
      <c r="AT85" s="107"/>
      <c r="AU85" s="107"/>
      <c r="AV85" s="107"/>
      <c r="AW85" s="107"/>
      <c r="AX85" s="107"/>
      <c r="AY85" s="107"/>
      <c r="AZ85" s="107"/>
      <c r="BA85" s="107"/>
      <c r="BB85" s="107"/>
      <c r="BC85" s="107"/>
      <c r="BD85" s="107"/>
      <c r="BE85" s="107"/>
      <c r="BF85" s="107"/>
    </row>
    <row r="86" spans="1:58" s="16" customFormat="1" ht="55.5" hidden="1" customHeight="1">
      <c r="A86" s="906">
        <v>3</v>
      </c>
      <c r="B86" s="907" t="s">
        <v>892</v>
      </c>
      <c r="C86" s="906">
        <v>24</v>
      </c>
      <c r="D86" s="908" t="s">
        <v>2450</v>
      </c>
      <c r="E86" s="906">
        <v>2402</v>
      </c>
      <c r="F86" s="908" t="s">
        <v>2304</v>
      </c>
      <c r="G86" s="909" t="s">
        <v>2815</v>
      </c>
      <c r="H86" s="908" t="s">
        <v>2816</v>
      </c>
      <c r="I86" s="909">
        <v>240200600</v>
      </c>
      <c r="J86" s="908" t="s">
        <v>2816</v>
      </c>
      <c r="K86" s="910">
        <v>3.7</v>
      </c>
      <c r="L86" s="910"/>
      <c r="M86" s="332">
        <v>3.7</v>
      </c>
      <c r="N86" s="911">
        <v>202500000034869</v>
      </c>
      <c r="O86" s="907" t="s">
        <v>2817</v>
      </c>
      <c r="P86" s="912" t="s">
        <v>2818</v>
      </c>
      <c r="Q86" s="901">
        <v>1300000000</v>
      </c>
      <c r="R86" s="913"/>
      <c r="S86" s="914"/>
      <c r="T86" s="914"/>
      <c r="U86" s="328">
        <f t="shared" si="4"/>
        <v>1300000000</v>
      </c>
      <c r="V86" s="915" t="s">
        <v>2819</v>
      </c>
      <c r="W86" s="916">
        <v>20</v>
      </c>
      <c r="X86" s="916" t="s">
        <v>67</v>
      </c>
      <c r="Y86" s="917">
        <v>27.635999999999999</v>
      </c>
      <c r="Z86" s="917">
        <v>25.51</v>
      </c>
      <c r="AA86" s="917">
        <v>9.5660000000000007</v>
      </c>
      <c r="AB86" s="917">
        <v>3.1890000000000001</v>
      </c>
      <c r="AC86" s="917">
        <v>29.762</v>
      </c>
      <c r="AD86" s="917">
        <v>11.161</v>
      </c>
      <c r="AE86" s="917">
        <v>531</v>
      </c>
      <c r="AF86" s="917">
        <v>531</v>
      </c>
      <c r="AG86" s="917"/>
      <c r="AH86" s="917"/>
      <c r="AI86" s="917"/>
      <c r="AJ86" s="917"/>
      <c r="AK86" s="917">
        <v>4.7830000000000004</v>
      </c>
      <c r="AL86" s="917">
        <v>2.657</v>
      </c>
      <c r="AM86" s="917">
        <v>5.3150000000000004</v>
      </c>
      <c r="AN86" s="917">
        <f t="shared" ref="AN86:AN96" si="5">+Y86+Z86</f>
        <v>53.146000000000001</v>
      </c>
      <c r="AO86" s="918">
        <v>46023</v>
      </c>
      <c r="AP86" s="918">
        <v>46387</v>
      </c>
      <c r="AQ86" s="919" t="s">
        <v>2605</v>
      </c>
      <c r="AR86" s="107"/>
      <c r="AS86" s="107"/>
      <c r="AT86" s="107"/>
      <c r="AU86" s="107"/>
      <c r="AV86" s="107"/>
      <c r="AW86" s="107"/>
      <c r="AX86" s="107"/>
      <c r="AY86" s="107"/>
      <c r="AZ86" s="107"/>
      <c r="BA86" s="107"/>
      <c r="BB86" s="107"/>
      <c r="BC86" s="107"/>
      <c r="BD86" s="107"/>
      <c r="BE86" s="107"/>
      <c r="BF86" s="107"/>
    </row>
    <row r="87" spans="1:58" s="16" customFormat="1" ht="77.25" hidden="1" customHeight="1">
      <c r="A87" s="906">
        <v>3</v>
      </c>
      <c r="B87" s="907" t="s">
        <v>892</v>
      </c>
      <c r="C87" s="906">
        <v>24</v>
      </c>
      <c r="D87" s="908" t="s">
        <v>2450</v>
      </c>
      <c r="E87" s="906">
        <v>2402</v>
      </c>
      <c r="F87" s="908" t="s">
        <v>2304</v>
      </c>
      <c r="G87" s="909" t="s">
        <v>2815</v>
      </c>
      <c r="H87" s="908" t="s">
        <v>2816</v>
      </c>
      <c r="I87" s="909">
        <v>240200600</v>
      </c>
      <c r="J87" s="908" t="s">
        <v>2816</v>
      </c>
      <c r="K87" s="910">
        <v>3.7</v>
      </c>
      <c r="L87" s="910"/>
      <c r="M87" s="332">
        <v>3.7</v>
      </c>
      <c r="N87" s="911">
        <v>202500000034869</v>
      </c>
      <c r="O87" s="907" t="s">
        <v>2817</v>
      </c>
      <c r="P87" s="912" t="s">
        <v>2820</v>
      </c>
      <c r="Q87" s="901">
        <v>120000000</v>
      </c>
      <c r="R87" s="913">
        <f>4000000+4000000+6000000+4000000+4000000+4000000+4000000+4000000+14800000+8000000+16000000+4400000+4000000+16000000+4000000</f>
        <v>101200000</v>
      </c>
      <c r="S87" s="914"/>
      <c r="T87" s="914"/>
      <c r="U87" s="328">
        <f t="shared" si="4"/>
        <v>18800000</v>
      </c>
      <c r="V87" s="915" t="s">
        <v>2821</v>
      </c>
      <c r="W87" s="916">
        <v>20</v>
      </c>
      <c r="X87" s="916" t="s">
        <v>67</v>
      </c>
      <c r="Y87" s="917">
        <v>27.635999999999999</v>
      </c>
      <c r="Z87" s="917">
        <v>25.51</v>
      </c>
      <c r="AA87" s="917">
        <v>9.5660000000000007</v>
      </c>
      <c r="AB87" s="917">
        <v>3.1890000000000001</v>
      </c>
      <c r="AC87" s="917">
        <v>29.762</v>
      </c>
      <c r="AD87" s="917">
        <v>11.161</v>
      </c>
      <c r="AE87" s="917">
        <v>531</v>
      </c>
      <c r="AF87" s="917">
        <v>531</v>
      </c>
      <c r="AG87" s="917"/>
      <c r="AH87" s="917"/>
      <c r="AI87" s="917"/>
      <c r="AJ87" s="917"/>
      <c r="AK87" s="917">
        <v>4.7830000000000004</v>
      </c>
      <c r="AL87" s="917">
        <v>2.657</v>
      </c>
      <c r="AM87" s="917">
        <v>5.3150000000000004</v>
      </c>
      <c r="AN87" s="917">
        <f t="shared" si="5"/>
        <v>53.146000000000001</v>
      </c>
      <c r="AO87" s="918">
        <v>46023</v>
      </c>
      <c r="AP87" s="918">
        <v>46387</v>
      </c>
      <c r="AQ87" s="919" t="s">
        <v>2605</v>
      </c>
      <c r="AR87" s="107"/>
      <c r="AS87" s="107"/>
      <c r="AT87" s="107"/>
      <c r="AU87" s="107"/>
      <c r="AV87" s="107"/>
      <c r="AW87" s="107"/>
      <c r="AX87" s="107"/>
      <c r="AY87" s="107"/>
      <c r="AZ87" s="107"/>
      <c r="BA87" s="107"/>
      <c r="BB87" s="107"/>
      <c r="BC87" s="107"/>
      <c r="BD87" s="107"/>
      <c r="BE87" s="107"/>
      <c r="BF87" s="107"/>
    </row>
    <row r="88" spans="1:58" s="16" customFormat="1" ht="55.5" hidden="1" customHeight="1">
      <c r="A88" s="906">
        <v>3</v>
      </c>
      <c r="B88" s="907" t="s">
        <v>892</v>
      </c>
      <c r="C88" s="906">
        <v>40</v>
      </c>
      <c r="D88" s="908" t="s">
        <v>2610</v>
      </c>
      <c r="E88" s="906">
        <v>4001</v>
      </c>
      <c r="F88" s="908" t="s">
        <v>2317</v>
      </c>
      <c r="G88" s="909" t="s">
        <v>2791</v>
      </c>
      <c r="H88" s="908" t="s">
        <v>2333</v>
      </c>
      <c r="I88" s="909">
        <v>400104100</v>
      </c>
      <c r="J88" s="908" t="s">
        <v>2333</v>
      </c>
      <c r="K88" s="910">
        <v>250</v>
      </c>
      <c r="L88" s="910"/>
      <c r="M88" s="128">
        <f>+K88+L88</f>
        <v>250</v>
      </c>
      <c r="N88" s="911">
        <v>202500000035651</v>
      </c>
      <c r="O88" s="907" t="s">
        <v>2822</v>
      </c>
      <c r="P88" s="912" t="s">
        <v>2823</v>
      </c>
      <c r="Q88" s="901">
        <v>375000000</v>
      </c>
      <c r="R88" s="913"/>
      <c r="S88" s="914"/>
      <c r="T88" s="914"/>
      <c r="U88" s="328">
        <f t="shared" si="4"/>
        <v>375000000</v>
      </c>
      <c r="V88" s="915" t="s">
        <v>2824</v>
      </c>
      <c r="W88" s="916">
        <v>46</v>
      </c>
      <c r="X88" s="916" t="s">
        <v>2604</v>
      </c>
      <c r="Y88" s="917">
        <v>1969</v>
      </c>
      <c r="Z88" s="920">
        <v>1831</v>
      </c>
      <c r="AA88" s="917">
        <v>665</v>
      </c>
      <c r="AB88" s="917">
        <v>243</v>
      </c>
      <c r="AC88" s="917">
        <v>2109</v>
      </c>
      <c r="AD88" s="917">
        <v>783</v>
      </c>
      <c r="AE88" s="917">
        <v>0</v>
      </c>
      <c r="AF88" s="917">
        <v>0</v>
      </c>
      <c r="AG88" s="917">
        <v>0</v>
      </c>
      <c r="AH88" s="917">
        <v>0</v>
      </c>
      <c r="AI88" s="917">
        <v>0</v>
      </c>
      <c r="AJ88" s="917">
        <v>0</v>
      </c>
      <c r="AK88" s="917">
        <v>0</v>
      </c>
      <c r="AL88" s="917">
        <v>0</v>
      </c>
      <c r="AM88" s="917">
        <v>0</v>
      </c>
      <c r="AN88" s="917">
        <f t="shared" si="5"/>
        <v>3800</v>
      </c>
      <c r="AO88" s="918">
        <v>46023</v>
      </c>
      <c r="AP88" s="918">
        <v>46387</v>
      </c>
      <c r="AQ88" s="919" t="s">
        <v>2605</v>
      </c>
      <c r="AR88" s="107"/>
      <c r="AS88" s="107"/>
      <c r="AT88" s="107"/>
      <c r="AU88" s="107"/>
      <c r="AV88" s="107"/>
      <c r="AW88" s="107"/>
      <c r="AX88" s="107"/>
      <c r="AY88" s="107"/>
      <c r="AZ88" s="107"/>
      <c r="BA88" s="107"/>
      <c r="BB88" s="107"/>
      <c r="BC88" s="107"/>
      <c r="BD88" s="107"/>
      <c r="BE88" s="107"/>
      <c r="BF88" s="107"/>
    </row>
    <row r="89" spans="1:58" s="16" customFormat="1" ht="55.5" hidden="1" customHeight="1">
      <c r="A89" s="906">
        <v>3</v>
      </c>
      <c r="B89" s="907" t="s">
        <v>892</v>
      </c>
      <c r="C89" s="906">
        <v>40</v>
      </c>
      <c r="D89" s="908" t="s">
        <v>2610</v>
      </c>
      <c r="E89" s="906">
        <v>4001</v>
      </c>
      <c r="F89" s="908" t="s">
        <v>2317</v>
      </c>
      <c r="G89" s="909" t="s">
        <v>2791</v>
      </c>
      <c r="H89" s="908" t="s">
        <v>2333</v>
      </c>
      <c r="I89" s="909">
        <v>400104100</v>
      </c>
      <c r="J89" s="908" t="s">
        <v>2333</v>
      </c>
      <c r="K89" s="910">
        <v>250</v>
      </c>
      <c r="L89" s="910"/>
      <c r="M89" s="128">
        <f t="shared" ref="M89:M95" si="6">+K89+L89</f>
        <v>250</v>
      </c>
      <c r="N89" s="911">
        <v>202500000035651</v>
      </c>
      <c r="O89" s="907" t="s">
        <v>2822</v>
      </c>
      <c r="P89" s="912" t="s">
        <v>2825</v>
      </c>
      <c r="Q89" s="901">
        <v>1125000000</v>
      </c>
      <c r="R89" s="913"/>
      <c r="S89" s="914"/>
      <c r="T89" s="914"/>
      <c r="U89" s="328">
        <f t="shared" si="4"/>
        <v>1125000000</v>
      </c>
      <c r="V89" s="915" t="s">
        <v>2826</v>
      </c>
      <c r="W89" s="916">
        <v>46</v>
      </c>
      <c r="X89" s="916" t="s">
        <v>2604</v>
      </c>
      <c r="Y89" s="917">
        <v>1969</v>
      </c>
      <c r="Z89" s="920">
        <v>1831</v>
      </c>
      <c r="AA89" s="917">
        <v>665</v>
      </c>
      <c r="AB89" s="917">
        <v>243</v>
      </c>
      <c r="AC89" s="917">
        <v>2109</v>
      </c>
      <c r="AD89" s="917">
        <v>783</v>
      </c>
      <c r="AE89" s="917">
        <v>0</v>
      </c>
      <c r="AF89" s="917">
        <v>0</v>
      </c>
      <c r="AG89" s="917">
        <v>0</v>
      </c>
      <c r="AH89" s="917">
        <v>0</v>
      </c>
      <c r="AI89" s="917">
        <v>0</v>
      </c>
      <c r="AJ89" s="917">
        <v>0</v>
      </c>
      <c r="AK89" s="917">
        <v>0</v>
      </c>
      <c r="AL89" s="917">
        <v>0</v>
      </c>
      <c r="AM89" s="917">
        <v>0</v>
      </c>
      <c r="AN89" s="917">
        <f t="shared" si="5"/>
        <v>3800</v>
      </c>
      <c r="AO89" s="918">
        <v>46023</v>
      </c>
      <c r="AP89" s="918">
        <v>46387</v>
      </c>
      <c r="AQ89" s="919" t="s">
        <v>2605</v>
      </c>
      <c r="AR89" s="107"/>
      <c r="AS89" s="107"/>
      <c r="AT89" s="107"/>
      <c r="AU89" s="107"/>
      <c r="AV89" s="107"/>
      <c r="AW89" s="107"/>
      <c r="AX89" s="107"/>
      <c r="AY89" s="107"/>
      <c r="AZ89" s="107"/>
      <c r="BA89" s="107"/>
      <c r="BB89" s="107"/>
      <c r="BC89" s="107"/>
      <c r="BD89" s="107"/>
      <c r="BE89" s="107"/>
      <c r="BF89" s="107"/>
    </row>
    <row r="90" spans="1:58" s="16" customFormat="1" ht="55.5" hidden="1" customHeight="1">
      <c r="A90" s="906">
        <v>3</v>
      </c>
      <c r="B90" s="907" t="s">
        <v>892</v>
      </c>
      <c r="C90" s="906">
        <v>40</v>
      </c>
      <c r="D90" s="908" t="s">
        <v>2610</v>
      </c>
      <c r="E90" s="906">
        <v>4001</v>
      </c>
      <c r="F90" s="908" t="s">
        <v>2317</v>
      </c>
      <c r="G90" s="909">
        <v>4001044</v>
      </c>
      <c r="H90" s="908" t="s">
        <v>2337</v>
      </c>
      <c r="I90" s="909">
        <v>400104400</v>
      </c>
      <c r="J90" s="908" t="s">
        <v>2337</v>
      </c>
      <c r="K90" s="910">
        <v>100</v>
      </c>
      <c r="L90" s="910"/>
      <c r="M90" s="128">
        <f t="shared" si="6"/>
        <v>100</v>
      </c>
      <c r="N90" s="911">
        <v>202500000035651</v>
      </c>
      <c r="O90" s="907" t="s">
        <v>2822</v>
      </c>
      <c r="P90" s="912" t="s">
        <v>2827</v>
      </c>
      <c r="Q90" s="901">
        <v>100000000</v>
      </c>
      <c r="R90" s="913"/>
      <c r="S90" s="914"/>
      <c r="T90" s="914"/>
      <c r="U90" s="328">
        <f t="shared" si="4"/>
        <v>100000000</v>
      </c>
      <c r="V90" s="915" t="s">
        <v>2828</v>
      </c>
      <c r="W90" s="916">
        <v>46</v>
      </c>
      <c r="X90" s="916" t="s">
        <v>2604</v>
      </c>
      <c r="Y90" s="917">
        <v>1969</v>
      </c>
      <c r="Z90" s="920">
        <v>1831</v>
      </c>
      <c r="AA90" s="917">
        <v>665</v>
      </c>
      <c r="AB90" s="917">
        <v>243</v>
      </c>
      <c r="AC90" s="917">
        <v>2109</v>
      </c>
      <c r="AD90" s="917">
        <v>783</v>
      </c>
      <c r="AE90" s="917">
        <v>0</v>
      </c>
      <c r="AF90" s="917">
        <v>0</v>
      </c>
      <c r="AG90" s="917">
        <v>0</v>
      </c>
      <c r="AH90" s="917">
        <v>0</v>
      </c>
      <c r="AI90" s="917">
        <v>0</v>
      </c>
      <c r="AJ90" s="917">
        <v>0</v>
      </c>
      <c r="AK90" s="917">
        <v>0</v>
      </c>
      <c r="AL90" s="917">
        <v>0</v>
      </c>
      <c r="AM90" s="917">
        <v>0</v>
      </c>
      <c r="AN90" s="917">
        <f t="shared" si="5"/>
        <v>3800</v>
      </c>
      <c r="AO90" s="918">
        <v>46023</v>
      </c>
      <c r="AP90" s="918">
        <v>46387</v>
      </c>
      <c r="AQ90" s="919" t="s">
        <v>2605</v>
      </c>
      <c r="AR90" s="107"/>
      <c r="AS90" s="107"/>
      <c r="AT90" s="107"/>
      <c r="AU90" s="107"/>
      <c r="AV90" s="107"/>
      <c r="AW90" s="107"/>
      <c r="AX90" s="107"/>
      <c r="AY90" s="107"/>
      <c r="AZ90" s="107"/>
      <c r="BA90" s="107"/>
      <c r="BB90" s="107"/>
      <c r="BC90" s="107"/>
      <c r="BD90" s="107"/>
      <c r="BE90" s="107"/>
      <c r="BF90" s="107"/>
    </row>
    <row r="91" spans="1:58" s="16" customFormat="1" ht="70.5" hidden="1" customHeight="1">
      <c r="A91" s="906">
        <v>3</v>
      </c>
      <c r="B91" s="907" t="s">
        <v>892</v>
      </c>
      <c r="C91" s="906">
        <v>40</v>
      </c>
      <c r="D91" s="908" t="s">
        <v>2610</v>
      </c>
      <c r="E91" s="906">
        <v>4001</v>
      </c>
      <c r="F91" s="908" t="s">
        <v>2317</v>
      </c>
      <c r="G91" s="909">
        <v>4001044</v>
      </c>
      <c r="H91" s="908" t="s">
        <v>2337</v>
      </c>
      <c r="I91" s="909">
        <v>400104400</v>
      </c>
      <c r="J91" s="908" t="s">
        <v>2337</v>
      </c>
      <c r="K91" s="910">
        <v>100</v>
      </c>
      <c r="L91" s="910"/>
      <c r="M91" s="128">
        <f t="shared" si="6"/>
        <v>100</v>
      </c>
      <c r="N91" s="911">
        <v>202500000035651</v>
      </c>
      <c r="O91" s="907" t="s">
        <v>2822</v>
      </c>
      <c r="P91" s="912" t="s">
        <v>2829</v>
      </c>
      <c r="Q91" s="901">
        <v>400000000</v>
      </c>
      <c r="R91" s="913"/>
      <c r="S91" s="914"/>
      <c r="T91" s="914"/>
      <c r="U91" s="328">
        <f t="shared" si="4"/>
        <v>400000000</v>
      </c>
      <c r="V91" s="915" t="s">
        <v>2830</v>
      </c>
      <c r="W91" s="916">
        <v>46</v>
      </c>
      <c r="X91" s="916" t="s">
        <v>2604</v>
      </c>
      <c r="Y91" s="917">
        <v>1969</v>
      </c>
      <c r="Z91" s="920">
        <v>1831</v>
      </c>
      <c r="AA91" s="917">
        <v>665</v>
      </c>
      <c r="AB91" s="917">
        <v>243</v>
      </c>
      <c r="AC91" s="917">
        <v>2109</v>
      </c>
      <c r="AD91" s="917">
        <v>783</v>
      </c>
      <c r="AE91" s="917">
        <v>0</v>
      </c>
      <c r="AF91" s="917">
        <v>0</v>
      </c>
      <c r="AG91" s="917">
        <v>0</v>
      </c>
      <c r="AH91" s="917">
        <v>0</v>
      </c>
      <c r="AI91" s="917">
        <v>0</v>
      </c>
      <c r="AJ91" s="917">
        <v>0</v>
      </c>
      <c r="AK91" s="917">
        <v>0</v>
      </c>
      <c r="AL91" s="917">
        <v>0</v>
      </c>
      <c r="AM91" s="917">
        <v>0</v>
      </c>
      <c r="AN91" s="917">
        <f t="shared" si="5"/>
        <v>3800</v>
      </c>
      <c r="AO91" s="918">
        <v>46023</v>
      </c>
      <c r="AP91" s="918">
        <v>46387</v>
      </c>
      <c r="AQ91" s="919" t="s">
        <v>2605</v>
      </c>
      <c r="AR91" s="107"/>
      <c r="AS91" s="107"/>
      <c r="AT91" s="107"/>
      <c r="AU91" s="107"/>
      <c r="AV91" s="107"/>
      <c r="AW91" s="107"/>
      <c r="AX91" s="107"/>
      <c r="AY91" s="107"/>
      <c r="AZ91" s="107"/>
      <c r="BA91" s="107"/>
      <c r="BB91" s="107"/>
      <c r="BC91" s="107"/>
      <c r="BD91" s="107"/>
      <c r="BE91" s="107"/>
      <c r="BF91" s="107"/>
    </row>
    <row r="92" spans="1:58" s="16" customFormat="1" ht="89.25" hidden="1" customHeight="1">
      <c r="A92" s="906">
        <v>3</v>
      </c>
      <c r="B92" s="907" t="s">
        <v>892</v>
      </c>
      <c r="C92" s="906">
        <v>40</v>
      </c>
      <c r="D92" s="908" t="s">
        <v>2610</v>
      </c>
      <c r="E92" s="906">
        <v>4001</v>
      </c>
      <c r="F92" s="908" t="s">
        <v>2317</v>
      </c>
      <c r="G92" s="909">
        <v>4001039</v>
      </c>
      <c r="H92" s="908" t="s">
        <v>2831</v>
      </c>
      <c r="I92" s="909">
        <v>400103900</v>
      </c>
      <c r="J92" s="908" t="s">
        <v>2831</v>
      </c>
      <c r="K92" s="910">
        <v>430</v>
      </c>
      <c r="L92" s="910"/>
      <c r="M92" s="128">
        <f t="shared" si="6"/>
        <v>430</v>
      </c>
      <c r="N92" s="911">
        <v>202500000035651</v>
      </c>
      <c r="O92" s="907" t="s">
        <v>2822</v>
      </c>
      <c r="P92" s="912" t="s">
        <v>2832</v>
      </c>
      <c r="Q92" s="901">
        <v>1500000000</v>
      </c>
      <c r="R92" s="913">
        <f>375000000+375000000+375000000+375000000</f>
        <v>1500000000</v>
      </c>
      <c r="S92" s="914"/>
      <c r="T92" s="914"/>
      <c r="U92" s="328">
        <f t="shared" si="4"/>
        <v>0</v>
      </c>
      <c r="V92" s="915" t="s">
        <v>2833</v>
      </c>
      <c r="W92" s="916">
        <v>46</v>
      </c>
      <c r="X92" s="916" t="s">
        <v>2604</v>
      </c>
      <c r="Y92" s="917">
        <v>1969</v>
      </c>
      <c r="Z92" s="920">
        <v>1831</v>
      </c>
      <c r="AA92" s="917">
        <v>665</v>
      </c>
      <c r="AB92" s="917">
        <v>243</v>
      </c>
      <c r="AC92" s="917">
        <v>2109</v>
      </c>
      <c r="AD92" s="917">
        <v>783</v>
      </c>
      <c r="AE92" s="917">
        <v>0</v>
      </c>
      <c r="AF92" s="917">
        <v>0</v>
      </c>
      <c r="AG92" s="917">
        <v>0</v>
      </c>
      <c r="AH92" s="917">
        <v>0</v>
      </c>
      <c r="AI92" s="917">
        <v>0</v>
      </c>
      <c r="AJ92" s="917">
        <v>0</v>
      </c>
      <c r="AK92" s="917">
        <v>0</v>
      </c>
      <c r="AL92" s="917">
        <v>0</v>
      </c>
      <c r="AM92" s="917">
        <v>0</v>
      </c>
      <c r="AN92" s="917">
        <f t="shared" si="5"/>
        <v>3800</v>
      </c>
      <c r="AO92" s="918">
        <v>46023</v>
      </c>
      <c r="AP92" s="918">
        <v>46387</v>
      </c>
      <c r="AQ92" s="919" t="s">
        <v>2605</v>
      </c>
      <c r="AR92" s="107"/>
      <c r="AS92" s="107"/>
      <c r="AT92" s="107"/>
      <c r="AU92" s="107"/>
      <c r="AV92" s="107"/>
      <c r="AW92" s="107"/>
      <c r="AX92" s="107"/>
      <c r="AY92" s="107"/>
      <c r="AZ92" s="107"/>
      <c r="BA92" s="107"/>
      <c r="BB92" s="107"/>
      <c r="BC92" s="107"/>
      <c r="BD92" s="107"/>
      <c r="BE92" s="107"/>
      <c r="BF92" s="107"/>
    </row>
    <row r="93" spans="1:58" s="16" customFormat="1" ht="65.25" hidden="1" customHeight="1">
      <c r="A93" s="906">
        <v>3</v>
      </c>
      <c r="B93" s="907" t="s">
        <v>892</v>
      </c>
      <c r="C93" s="906">
        <v>40</v>
      </c>
      <c r="D93" s="908" t="s">
        <v>2610</v>
      </c>
      <c r="E93" s="906">
        <v>4001</v>
      </c>
      <c r="F93" s="908" t="s">
        <v>2317</v>
      </c>
      <c r="G93" s="909">
        <v>4001039</v>
      </c>
      <c r="H93" s="908" t="s">
        <v>2831</v>
      </c>
      <c r="I93" s="909">
        <v>400103900</v>
      </c>
      <c r="J93" s="908" t="s">
        <v>2831</v>
      </c>
      <c r="K93" s="910">
        <v>430</v>
      </c>
      <c r="L93" s="910"/>
      <c r="M93" s="128">
        <f t="shared" si="6"/>
        <v>430</v>
      </c>
      <c r="N93" s="911">
        <v>202500000035651</v>
      </c>
      <c r="O93" s="907" t="s">
        <v>2822</v>
      </c>
      <c r="P93" s="912" t="s">
        <v>2834</v>
      </c>
      <c r="Q93" s="901">
        <v>3000000000</v>
      </c>
      <c r="R93" s="913">
        <f>704000000+650000000+650000000+996000000</f>
        <v>3000000000</v>
      </c>
      <c r="S93" s="914"/>
      <c r="T93" s="914"/>
      <c r="U93" s="328">
        <f t="shared" si="4"/>
        <v>0</v>
      </c>
      <c r="V93" s="915" t="s">
        <v>2835</v>
      </c>
      <c r="W93" s="916">
        <v>46</v>
      </c>
      <c r="X93" s="916" t="s">
        <v>2604</v>
      </c>
      <c r="Y93" s="917">
        <v>1969</v>
      </c>
      <c r="Z93" s="920">
        <v>1831</v>
      </c>
      <c r="AA93" s="917">
        <v>665</v>
      </c>
      <c r="AB93" s="917">
        <v>243</v>
      </c>
      <c r="AC93" s="917">
        <v>2109</v>
      </c>
      <c r="AD93" s="917">
        <v>783</v>
      </c>
      <c r="AE93" s="917">
        <v>0</v>
      </c>
      <c r="AF93" s="917">
        <v>0</v>
      </c>
      <c r="AG93" s="917">
        <v>0</v>
      </c>
      <c r="AH93" s="917">
        <v>0</v>
      </c>
      <c r="AI93" s="917">
        <v>0</v>
      </c>
      <c r="AJ93" s="917">
        <v>0</v>
      </c>
      <c r="AK93" s="917">
        <v>0</v>
      </c>
      <c r="AL93" s="917">
        <v>0</v>
      </c>
      <c r="AM93" s="917">
        <v>0</v>
      </c>
      <c r="AN93" s="917">
        <f t="shared" si="5"/>
        <v>3800</v>
      </c>
      <c r="AO93" s="918">
        <v>46023</v>
      </c>
      <c r="AP93" s="918">
        <v>46387</v>
      </c>
      <c r="AQ93" s="919" t="s">
        <v>2605</v>
      </c>
      <c r="AR93" s="107"/>
      <c r="AS93" s="107"/>
      <c r="AT93" s="107"/>
      <c r="AU93" s="107"/>
      <c r="AV93" s="107"/>
      <c r="AW93" s="107"/>
      <c r="AX93" s="107"/>
      <c r="AY93" s="107"/>
      <c r="AZ93" s="107"/>
      <c r="BA93" s="107"/>
      <c r="BB93" s="107"/>
      <c r="BC93" s="107"/>
      <c r="BD93" s="107"/>
      <c r="BE93" s="107"/>
      <c r="BF93" s="107"/>
    </row>
    <row r="94" spans="1:58" s="16" customFormat="1" ht="63.75" hidden="1" customHeight="1">
      <c r="A94" s="906">
        <v>3</v>
      </c>
      <c r="B94" s="907" t="s">
        <v>892</v>
      </c>
      <c r="C94" s="906">
        <v>40</v>
      </c>
      <c r="D94" s="908" t="s">
        <v>2610</v>
      </c>
      <c r="E94" s="906">
        <v>4001</v>
      </c>
      <c r="F94" s="908" t="s">
        <v>2317</v>
      </c>
      <c r="G94" s="909">
        <v>4001039</v>
      </c>
      <c r="H94" s="908" t="s">
        <v>2831</v>
      </c>
      <c r="I94" s="909">
        <v>400103900</v>
      </c>
      <c r="J94" s="908" t="s">
        <v>2831</v>
      </c>
      <c r="K94" s="910">
        <v>430</v>
      </c>
      <c r="L94" s="910"/>
      <c r="M94" s="128">
        <f t="shared" si="6"/>
        <v>430</v>
      </c>
      <c r="N94" s="911">
        <v>202500000035651</v>
      </c>
      <c r="O94" s="907" t="s">
        <v>2822</v>
      </c>
      <c r="P94" s="912" t="s">
        <v>2836</v>
      </c>
      <c r="Q94" s="901">
        <v>10500000000</v>
      </c>
      <c r="R94" s="913">
        <f>1185000000+536000000+1410000000+385000000+1225000000+1220000000+1530000000+760000000+536000000+725000000+880000000</f>
        <v>10392000000</v>
      </c>
      <c r="S94" s="914"/>
      <c r="T94" s="914"/>
      <c r="U94" s="328">
        <f t="shared" si="4"/>
        <v>108000000</v>
      </c>
      <c r="V94" s="915" t="s">
        <v>2837</v>
      </c>
      <c r="W94" s="916">
        <v>46</v>
      </c>
      <c r="X94" s="916" t="s">
        <v>2604</v>
      </c>
      <c r="Y94" s="917">
        <v>1969</v>
      </c>
      <c r="Z94" s="920">
        <v>1831</v>
      </c>
      <c r="AA94" s="917">
        <v>665</v>
      </c>
      <c r="AB94" s="917">
        <v>243</v>
      </c>
      <c r="AC94" s="917">
        <v>2109</v>
      </c>
      <c r="AD94" s="917">
        <v>783</v>
      </c>
      <c r="AE94" s="917">
        <v>0</v>
      </c>
      <c r="AF94" s="917">
        <v>0</v>
      </c>
      <c r="AG94" s="917">
        <v>0</v>
      </c>
      <c r="AH94" s="917">
        <v>0</v>
      </c>
      <c r="AI94" s="917">
        <v>0</v>
      </c>
      <c r="AJ94" s="917">
        <v>0</v>
      </c>
      <c r="AK94" s="917">
        <v>0</v>
      </c>
      <c r="AL94" s="917">
        <v>0</v>
      </c>
      <c r="AM94" s="917">
        <v>0</v>
      </c>
      <c r="AN94" s="917">
        <f t="shared" si="5"/>
        <v>3800</v>
      </c>
      <c r="AO94" s="918">
        <v>46023</v>
      </c>
      <c r="AP94" s="918">
        <v>46387</v>
      </c>
      <c r="AQ94" s="919" t="s">
        <v>2605</v>
      </c>
      <c r="AR94" s="107"/>
      <c r="AS94" s="107"/>
      <c r="AT94" s="107"/>
      <c r="AU94" s="107"/>
      <c r="AV94" s="107"/>
      <c r="AW94" s="107"/>
      <c r="AX94" s="107"/>
      <c r="AY94" s="107"/>
      <c r="AZ94" s="107"/>
      <c r="BA94" s="107"/>
      <c r="BB94" s="107"/>
      <c r="BC94" s="107"/>
      <c r="BD94" s="107"/>
      <c r="BE94" s="107"/>
      <c r="BF94" s="107"/>
    </row>
    <row r="95" spans="1:58" s="16" customFormat="1" ht="55.5" hidden="1" customHeight="1">
      <c r="A95" s="906">
        <v>1</v>
      </c>
      <c r="B95" s="907" t="s">
        <v>513</v>
      </c>
      <c r="C95" s="906">
        <v>43</v>
      </c>
      <c r="D95" s="908" t="s">
        <v>2634</v>
      </c>
      <c r="E95" s="906">
        <v>4301</v>
      </c>
      <c r="F95" s="908" t="s">
        <v>2279</v>
      </c>
      <c r="G95" s="909">
        <v>4301016</v>
      </c>
      <c r="H95" s="908" t="s">
        <v>2838</v>
      </c>
      <c r="I95" s="909">
        <v>430101600</v>
      </c>
      <c r="J95" s="908" t="s">
        <v>2838</v>
      </c>
      <c r="K95" s="910">
        <v>2</v>
      </c>
      <c r="L95" s="910"/>
      <c r="M95" s="128">
        <f t="shared" si="6"/>
        <v>2</v>
      </c>
      <c r="N95" s="911">
        <v>202500000035648</v>
      </c>
      <c r="O95" s="907" t="s">
        <v>2839</v>
      </c>
      <c r="P95" s="912" t="s">
        <v>2840</v>
      </c>
      <c r="Q95" s="901">
        <v>20000000</v>
      </c>
      <c r="R95" s="913"/>
      <c r="S95" s="914"/>
      <c r="T95" s="914"/>
      <c r="U95" s="328">
        <v>20000000</v>
      </c>
      <c r="V95" s="915" t="s">
        <v>2841</v>
      </c>
      <c r="W95" s="916">
        <v>20</v>
      </c>
      <c r="X95" s="916" t="s">
        <v>67</v>
      </c>
      <c r="Y95" s="920">
        <v>293304</v>
      </c>
      <c r="Z95" s="920" t="s">
        <v>2842</v>
      </c>
      <c r="AA95" s="917">
        <v>99059</v>
      </c>
      <c r="AB95" s="917">
        <v>36139</v>
      </c>
      <c r="AC95" s="917">
        <v>314186</v>
      </c>
      <c r="AD95" s="917">
        <v>116664</v>
      </c>
      <c r="AE95" s="917">
        <v>3247</v>
      </c>
      <c r="AF95" s="917">
        <v>6804</v>
      </c>
      <c r="AG95" s="917">
        <v>25</v>
      </c>
      <c r="AH95" s="917">
        <v>7</v>
      </c>
      <c r="AI95" s="917"/>
      <c r="AJ95" s="917"/>
      <c r="AK95" s="917">
        <v>50946</v>
      </c>
      <c r="AL95" s="917">
        <v>28554</v>
      </c>
      <c r="AM95" s="917">
        <v>53914</v>
      </c>
      <c r="AN95" s="920">
        <f t="shared" si="5"/>
        <v>566048</v>
      </c>
      <c r="AO95" s="918">
        <v>46023</v>
      </c>
      <c r="AP95" s="918">
        <v>46387</v>
      </c>
      <c r="AQ95" s="919" t="s">
        <v>2605</v>
      </c>
      <c r="AR95" s="107"/>
      <c r="AS95" s="107"/>
      <c r="AT95" s="107"/>
      <c r="AU95" s="107"/>
      <c r="AV95" s="107"/>
      <c r="AW95" s="107"/>
      <c r="AX95" s="107"/>
      <c r="AY95" s="107"/>
      <c r="AZ95" s="107"/>
      <c r="BA95" s="107"/>
      <c r="BB95" s="107"/>
      <c r="BC95" s="107"/>
      <c r="BD95" s="107"/>
      <c r="BE95" s="107"/>
      <c r="BF95" s="107"/>
    </row>
    <row r="96" spans="1:58" s="16" customFormat="1" ht="55.5" hidden="1" customHeight="1">
      <c r="A96" s="906">
        <v>1</v>
      </c>
      <c r="B96" s="907" t="s">
        <v>513</v>
      </c>
      <c r="C96" s="906">
        <v>43</v>
      </c>
      <c r="D96" s="908" t="s">
        <v>2634</v>
      </c>
      <c r="E96" s="906">
        <v>4301</v>
      </c>
      <c r="F96" s="908" t="s">
        <v>2279</v>
      </c>
      <c r="G96" s="909">
        <v>4301016</v>
      </c>
      <c r="H96" s="908" t="s">
        <v>2838</v>
      </c>
      <c r="I96" s="909">
        <v>430101600</v>
      </c>
      <c r="J96" s="908" t="s">
        <v>2838</v>
      </c>
      <c r="K96" s="910">
        <v>2</v>
      </c>
      <c r="L96" s="910"/>
      <c r="M96" s="128">
        <f>+K96+L96</f>
        <v>2</v>
      </c>
      <c r="N96" s="911">
        <v>202500000035648</v>
      </c>
      <c r="O96" s="907" t="s">
        <v>2839</v>
      </c>
      <c r="P96" s="912" t="s">
        <v>2843</v>
      </c>
      <c r="Q96" s="901">
        <v>20000000</v>
      </c>
      <c r="R96" s="913"/>
      <c r="S96" s="914"/>
      <c r="T96" s="914"/>
      <c r="U96" s="328">
        <v>20000000</v>
      </c>
      <c r="V96" s="915" t="s">
        <v>2841</v>
      </c>
      <c r="W96" s="916">
        <v>20</v>
      </c>
      <c r="X96" s="916" t="s">
        <v>67</v>
      </c>
      <c r="Y96" s="920">
        <v>293304</v>
      </c>
      <c r="Z96" s="920" t="s">
        <v>2842</v>
      </c>
      <c r="AA96" s="917">
        <v>99059</v>
      </c>
      <c r="AB96" s="917">
        <v>36139</v>
      </c>
      <c r="AC96" s="917">
        <v>314186</v>
      </c>
      <c r="AD96" s="917">
        <v>116664</v>
      </c>
      <c r="AE96" s="917">
        <v>3247</v>
      </c>
      <c r="AF96" s="917">
        <v>6804</v>
      </c>
      <c r="AG96" s="917">
        <v>25</v>
      </c>
      <c r="AH96" s="917">
        <v>7</v>
      </c>
      <c r="AI96" s="917"/>
      <c r="AJ96" s="917"/>
      <c r="AK96" s="917">
        <v>50946</v>
      </c>
      <c r="AL96" s="917">
        <v>28554</v>
      </c>
      <c r="AM96" s="917">
        <v>53914</v>
      </c>
      <c r="AN96" s="920">
        <f t="shared" si="5"/>
        <v>566048</v>
      </c>
      <c r="AO96" s="918">
        <v>46023</v>
      </c>
      <c r="AP96" s="918">
        <v>46387</v>
      </c>
      <c r="AQ96" s="919" t="s">
        <v>2605</v>
      </c>
      <c r="AR96" s="107"/>
      <c r="AS96" s="107"/>
      <c r="AT96" s="107"/>
      <c r="AU96" s="107"/>
      <c r="AV96" s="107"/>
      <c r="AW96" s="107"/>
      <c r="AX96" s="107"/>
      <c r="AY96" s="107"/>
      <c r="AZ96" s="107"/>
      <c r="BA96" s="107"/>
      <c r="BB96" s="107"/>
      <c r="BC96" s="107"/>
      <c r="BD96" s="107"/>
      <c r="BE96" s="107"/>
      <c r="BF96" s="107"/>
    </row>
    <row r="97" spans="1:58" s="16" customFormat="1" ht="55.5" hidden="1" customHeight="1">
      <c r="A97" s="906">
        <v>3</v>
      </c>
      <c r="B97" s="907" t="s">
        <v>892</v>
      </c>
      <c r="C97" s="911">
        <v>24</v>
      </c>
      <c r="D97" s="923" t="s">
        <v>2450</v>
      </c>
      <c r="E97" s="911">
        <v>2402</v>
      </c>
      <c r="F97" s="923" t="s">
        <v>2304</v>
      </c>
      <c r="G97" s="911">
        <v>2402006</v>
      </c>
      <c r="H97" s="923" t="s">
        <v>2844</v>
      </c>
      <c r="I97" s="333">
        <v>240200600</v>
      </c>
      <c r="J97" s="923" t="s">
        <v>2844</v>
      </c>
      <c r="K97" s="924">
        <v>4.2300000000000004</v>
      </c>
      <c r="L97" s="910"/>
      <c r="M97" s="332">
        <f>+K97+L97</f>
        <v>4.2300000000000004</v>
      </c>
      <c r="N97" s="911">
        <v>202500000035649</v>
      </c>
      <c r="O97" s="907" t="s">
        <v>2845</v>
      </c>
      <c r="P97" s="925" t="s">
        <v>2846</v>
      </c>
      <c r="Q97" s="901">
        <v>5000000</v>
      </c>
      <c r="R97" s="913"/>
      <c r="S97" s="914"/>
      <c r="T97" s="914"/>
      <c r="U97" s="331">
        <v>5000000</v>
      </c>
      <c r="V97" s="915" t="s">
        <v>2847</v>
      </c>
      <c r="W97" s="916">
        <v>20</v>
      </c>
      <c r="X97" s="916" t="s">
        <v>67</v>
      </c>
      <c r="Y97" s="920" t="s">
        <v>2848</v>
      </c>
      <c r="Z97" s="920" t="s">
        <v>2849</v>
      </c>
      <c r="AA97" s="917">
        <v>9566</v>
      </c>
      <c r="AB97" s="917">
        <v>3189</v>
      </c>
      <c r="AC97" s="917">
        <v>29762</v>
      </c>
      <c r="AD97" s="917">
        <v>11161</v>
      </c>
      <c r="AE97" s="917">
        <v>531</v>
      </c>
      <c r="AF97" s="917">
        <v>531</v>
      </c>
      <c r="AG97" s="917">
        <v>0</v>
      </c>
      <c r="AH97" s="917">
        <v>0</v>
      </c>
      <c r="AI97" s="917">
        <v>0</v>
      </c>
      <c r="AJ97" s="917">
        <v>0</v>
      </c>
      <c r="AK97" s="917">
        <v>4783</v>
      </c>
      <c r="AL97" s="917">
        <v>2657</v>
      </c>
      <c r="AM97" s="917">
        <v>5315</v>
      </c>
      <c r="AN97" s="920" t="s">
        <v>2850</v>
      </c>
      <c r="AO97" s="918">
        <v>46023</v>
      </c>
      <c r="AP97" s="918">
        <v>46387</v>
      </c>
      <c r="AQ97" s="919" t="s">
        <v>2605</v>
      </c>
      <c r="AR97" s="107"/>
      <c r="AS97" s="107"/>
      <c r="AT97" s="107"/>
      <c r="AU97" s="107"/>
      <c r="AV97" s="107"/>
      <c r="AW97" s="107"/>
      <c r="AX97" s="107"/>
      <c r="AY97" s="107"/>
      <c r="AZ97" s="107"/>
      <c r="BA97" s="107"/>
      <c r="BB97" s="107"/>
      <c r="BC97" s="107"/>
      <c r="BD97" s="107"/>
      <c r="BE97" s="107"/>
      <c r="BF97" s="107"/>
    </row>
    <row r="98" spans="1:58" s="16" customFormat="1" ht="55.5" hidden="1" customHeight="1">
      <c r="A98" s="906">
        <v>3</v>
      </c>
      <c r="B98" s="907" t="s">
        <v>892</v>
      </c>
      <c r="C98" s="911">
        <v>24</v>
      </c>
      <c r="D98" s="923" t="s">
        <v>2450</v>
      </c>
      <c r="E98" s="911">
        <v>2402</v>
      </c>
      <c r="F98" s="923" t="s">
        <v>2304</v>
      </c>
      <c r="G98" s="911">
        <v>2402006</v>
      </c>
      <c r="H98" s="923" t="s">
        <v>2844</v>
      </c>
      <c r="I98" s="333">
        <v>240200600</v>
      </c>
      <c r="J98" s="923" t="s">
        <v>2844</v>
      </c>
      <c r="K98" s="924">
        <v>6.37</v>
      </c>
      <c r="L98" s="910"/>
      <c r="M98" s="332">
        <f>+K98+L98</f>
        <v>6.37</v>
      </c>
      <c r="N98" s="911">
        <v>202500000035649</v>
      </c>
      <c r="O98" s="907" t="s">
        <v>2845</v>
      </c>
      <c r="P98" s="925" t="s">
        <v>2851</v>
      </c>
      <c r="Q98" s="901">
        <v>5000000</v>
      </c>
      <c r="R98" s="913"/>
      <c r="S98" s="914"/>
      <c r="T98" s="914"/>
      <c r="U98" s="331">
        <v>5000000</v>
      </c>
      <c r="V98" s="915" t="s">
        <v>2847</v>
      </c>
      <c r="W98" s="916">
        <v>20</v>
      </c>
      <c r="X98" s="916" t="s">
        <v>67</v>
      </c>
      <c r="Y98" s="920" t="s">
        <v>2848</v>
      </c>
      <c r="Z98" s="920" t="s">
        <v>2849</v>
      </c>
      <c r="AA98" s="917">
        <v>9566</v>
      </c>
      <c r="AB98" s="917">
        <v>3189</v>
      </c>
      <c r="AC98" s="917">
        <v>29762</v>
      </c>
      <c r="AD98" s="917">
        <v>11161</v>
      </c>
      <c r="AE98" s="917">
        <v>531</v>
      </c>
      <c r="AF98" s="917">
        <v>531</v>
      </c>
      <c r="AG98" s="917">
        <v>0</v>
      </c>
      <c r="AH98" s="917">
        <v>0</v>
      </c>
      <c r="AI98" s="917">
        <v>0</v>
      </c>
      <c r="AJ98" s="917">
        <v>0</v>
      </c>
      <c r="AK98" s="917">
        <v>4783</v>
      </c>
      <c r="AL98" s="917">
        <v>2657</v>
      </c>
      <c r="AM98" s="917">
        <v>5315</v>
      </c>
      <c r="AN98" s="920" t="s">
        <v>2850</v>
      </c>
      <c r="AO98" s="918">
        <v>46023</v>
      </c>
      <c r="AP98" s="918">
        <v>46387</v>
      </c>
      <c r="AQ98" s="919" t="s">
        <v>2605</v>
      </c>
      <c r="AR98" s="107"/>
      <c r="AS98" s="107"/>
      <c r="AT98" s="107"/>
      <c r="AU98" s="107"/>
      <c r="AV98" s="107"/>
      <c r="AW98" s="107"/>
      <c r="AX98" s="107"/>
      <c r="AY98" s="107"/>
      <c r="AZ98" s="107"/>
      <c r="BA98" s="107"/>
      <c r="BB98" s="107"/>
      <c r="BC98" s="107"/>
      <c r="BD98" s="107"/>
      <c r="BE98" s="107"/>
      <c r="BF98" s="107"/>
    </row>
    <row r="99" spans="1:58" s="17" customFormat="1" ht="27.6" hidden="1" customHeight="1" thickBot="1">
      <c r="A99" s="335"/>
      <c r="B99" s="49"/>
      <c r="C99" s="49"/>
      <c r="D99" s="49"/>
      <c r="E99" s="49"/>
      <c r="F99" s="49"/>
      <c r="G99" s="49"/>
      <c r="H99" s="49"/>
      <c r="I99" s="49"/>
      <c r="J99" s="49"/>
      <c r="K99" s="49"/>
      <c r="L99" s="49"/>
      <c r="M99" s="49"/>
      <c r="N99" s="49"/>
      <c r="O99" s="49"/>
      <c r="P99" s="336"/>
      <c r="Q99" s="903">
        <f>SUM(Q10:Q98)</f>
        <v>61438697010.699005</v>
      </c>
      <c r="R99" s="153"/>
      <c r="S99" s="153"/>
      <c r="T99" s="153"/>
      <c r="U99" s="153"/>
      <c r="V99" s="49"/>
      <c r="W99" s="49"/>
      <c r="X99" s="49"/>
      <c r="Y99" s="49"/>
      <c r="Z99" s="49"/>
      <c r="AA99" s="49"/>
      <c r="AB99" s="49"/>
      <c r="AC99" s="49"/>
      <c r="AD99" s="49"/>
      <c r="AE99" s="49"/>
      <c r="AF99" s="49"/>
      <c r="AG99" s="49"/>
      <c r="AH99" s="49"/>
      <c r="AI99" s="49"/>
      <c r="AJ99" s="49"/>
      <c r="AK99" s="49"/>
      <c r="AL99" s="49"/>
      <c r="AM99" s="49"/>
      <c r="AN99" s="49"/>
      <c r="AO99" s="337"/>
      <c r="AP99" s="337"/>
      <c r="AQ99" s="338"/>
    </row>
    <row r="100" spans="1:58" s="17" customFormat="1" ht="15.75">
      <c r="Q100" s="904"/>
      <c r="V100" s="902"/>
      <c r="W100" s="18"/>
      <c r="X100" s="18"/>
      <c r="AO100" s="339"/>
      <c r="AP100" s="339"/>
    </row>
    <row r="101" spans="1:58" s="17" customFormat="1" ht="14.25">
      <c r="Q101" s="904"/>
      <c r="W101" s="18"/>
      <c r="X101" s="18"/>
      <c r="AO101" s="339"/>
      <c r="AP101" s="339"/>
    </row>
    <row r="102" spans="1:58" s="17" customFormat="1" ht="14.25">
      <c r="Q102" s="904"/>
      <c r="W102" s="18"/>
      <c r="X102" s="18"/>
      <c r="AO102" s="339"/>
      <c r="AP102" s="339"/>
    </row>
    <row r="103" spans="1:58" s="17" customFormat="1" ht="14.25">
      <c r="Q103" s="904"/>
      <c r="W103" s="18"/>
      <c r="X103" s="18"/>
      <c r="AO103" s="339"/>
      <c r="AP103" s="339"/>
    </row>
    <row r="104" spans="1:58" s="17" customFormat="1">
      <c r="K104" s="980" t="s">
        <v>2852</v>
      </c>
      <c r="L104" s="980"/>
      <c r="M104" s="980"/>
      <c r="N104" s="980"/>
      <c r="O104" s="980"/>
      <c r="P104" s="980"/>
      <c r="Q104" s="980"/>
      <c r="R104" s="37"/>
      <c r="S104" s="31"/>
      <c r="T104" s="31"/>
      <c r="U104" s="31"/>
      <c r="W104" s="18"/>
      <c r="X104" s="18"/>
      <c r="AO104" s="339"/>
      <c r="AP104" s="339"/>
    </row>
    <row r="105" spans="1:58">
      <c r="K105" s="981" t="s">
        <v>2605</v>
      </c>
      <c r="L105" s="981"/>
      <c r="M105" s="981"/>
      <c r="N105" s="981"/>
      <c r="O105" s="981"/>
      <c r="P105" s="981"/>
      <c r="Q105" s="981"/>
      <c r="R105" s="38"/>
      <c r="S105" s="964"/>
      <c r="T105" s="964"/>
      <c r="U105" s="964"/>
    </row>
    <row r="106" spans="1:58">
      <c r="A106" s="17"/>
      <c r="B106" s="17"/>
      <c r="C106" s="17"/>
      <c r="D106" s="17"/>
      <c r="E106" s="17"/>
      <c r="F106" s="17"/>
      <c r="G106" s="17"/>
      <c r="H106" s="17"/>
      <c r="I106" s="17"/>
      <c r="J106" s="17"/>
      <c r="K106" s="17"/>
      <c r="L106" s="17"/>
      <c r="M106" s="17"/>
      <c r="N106" s="17"/>
      <c r="O106" s="17"/>
      <c r="P106" s="17"/>
      <c r="Q106" s="904"/>
      <c r="R106" s="17"/>
      <c r="S106" s="17"/>
      <c r="T106" s="17"/>
      <c r="U106" s="17"/>
      <c r="V106" s="17"/>
      <c r="W106" s="18"/>
      <c r="X106" s="18"/>
      <c r="Y106" s="17"/>
      <c r="Z106" s="17"/>
      <c r="AA106" s="17"/>
      <c r="AB106" s="17"/>
      <c r="AC106" s="17"/>
      <c r="AD106" s="17"/>
      <c r="AE106" s="17"/>
      <c r="AF106" s="17"/>
      <c r="AG106" s="17"/>
      <c r="AH106" s="17"/>
      <c r="AI106" s="17"/>
      <c r="AJ106" s="17"/>
      <c r="AK106" s="17"/>
      <c r="AL106" s="17"/>
      <c r="AM106" s="17"/>
      <c r="AN106" s="17"/>
      <c r="AO106" s="339"/>
      <c r="AP106" s="339"/>
      <c r="AQ106" s="17"/>
      <c r="AR106" s="17"/>
    </row>
    <row r="107" spans="1:58">
      <c r="A107" s="17"/>
      <c r="B107" s="17"/>
      <c r="C107" s="17"/>
      <c r="D107" s="17"/>
      <c r="E107" s="17"/>
      <c r="F107" s="17"/>
      <c r="G107" s="17"/>
      <c r="H107" s="17"/>
      <c r="I107" s="17"/>
      <c r="J107" s="17"/>
      <c r="K107" s="17"/>
      <c r="L107" s="17"/>
      <c r="M107" s="17"/>
      <c r="N107" s="17"/>
      <c r="O107" s="17"/>
      <c r="P107" s="17"/>
      <c r="Q107" s="904"/>
      <c r="R107" s="17"/>
      <c r="S107" s="17"/>
      <c r="T107" s="17"/>
      <c r="U107" s="17"/>
      <c r="V107" s="17"/>
      <c r="W107" s="18"/>
      <c r="X107" s="18"/>
      <c r="Y107" s="17"/>
      <c r="Z107" s="17"/>
      <c r="AA107" s="17"/>
      <c r="AB107" s="17"/>
      <c r="AC107" s="17"/>
      <c r="AD107" s="17"/>
      <c r="AE107" s="17"/>
      <c r="AF107" s="17"/>
      <c r="AG107" s="17"/>
      <c r="AH107" s="17"/>
      <c r="AI107" s="17"/>
      <c r="AJ107" s="17"/>
      <c r="AK107" s="17"/>
      <c r="AL107" s="17"/>
      <c r="AM107" s="17"/>
      <c r="AN107" s="17"/>
      <c r="AO107" s="339"/>
      <c r="AP107" s="339"/>
      <c r="AQ107" s="17"/>
      <c r="AR107" s="17"/>
    </row>
    <row r="108" spans="1:58">
      <c r="A108" s="17"/>
      <c r="B108" s="17"/>
      <c r="C108" s="17"/>
      <c r="D108" s="17"/>
      <c r="E108" s="17"/>
      <c r="F108" s="17"/>
      <c r="G108" s="979" t="s">
        <v>108</v>
      </c>
      <c r="H108" s="979"/>
      <c r="I108" s="982" t="s">
        <v>109</v>
      </c>
      <c r="J108" s="983"/>
      <c r="K108" s="984" t="s">
        <v>110</v>
      </c>
      <c r="L108" s="985"/>
      <c r="M108" s="985"/>
      <c r="N108" s="986"/>
      <c r="O108" s="17"/>
      <c r="P108" s="17"/>
      <c r="Q108" s="904"/>
      <c r="R108" s="17"/>
      <c r="S108" s="17"/>
      <c r="T108" s="17"/>
      <c r="U108" s="17"/>
      <c r="V108" s="17"/>
      <c r="W108" s="18"/>
      <c r="X108" s="18"/>
      <c r="Y108" s="17"/>
      <c r="Z108" s="17"/>
      <c r="AA108" s="17"/>
      <c r="AB108" s="17"/>
      <c r="AC108" s="17"/>
      <c r="AD108" s="17"/>
      <c r="AE108" s="17"/>
      <c r="AF108" s="17"/>
      <c r="AG108" s="17"/>
      <c r="AH108" s="17"/>
      <c r="AI108" s="17"/>
      <c r="AJ108" s="17"/>
      <c r="AK108" s="17"/>
      <c r="AL108" s="17"/>
      <c r="AM108" s="17"/>
      <c r="AN108" s="17"/>
      <c r="AO108" s="339"/>
      <c r="AP108" s="339"/>
      <c r="AQ108" s="17"/>
      <c r="AR108" s="17"/>
    </row>
    <row r="109" spans="1:58" ht="31.5" customHeight="1">
      <c r="A109" s="17"/>
      <c r="B109" s="17"/>
      <c r="C109" s="17"/>
      <c r="D109" s="17"/>
      <c r="E109" s="17"/>
      <c r="F109" s="17"/>
      <c r="G109" s="979" t="s">
        <v>111</v>
      </c>
      <c r="H109" s="979"/>
      <c r="I109" s="1017" t="s">
        <v>112</v>
      </c>
      <c r="J109" s="1018"/>
      <c r="K109" s="979" t="s">
        <v>113</v>
      </c>
      <c r="L109" s="979"/>
      <c r="M109" s="979"/>
      <c r="N109" s="979"/>
      <c r="O109" s="17"/>
      <c r="P109" s="17"/>
      <c r="Q109" s="904"/>
      <c r="R109" s="17"/>
      <c r="S109" s="17"/>
      <c r="T109" s="17"/>
      <c r="U109" s="17"/>
      <c r="V109" s="24"/>
      <c r="W109" s="18"/>
      <c r="X109" s="18"/>
      <c r="Y109" s="17"/>
      <c r="Z109" s="17"/>
      <c r="AA109" s="17"/>
      <c r="AB109" s="17"/>
      <c r="AC109" s="17"/>
      <c r="AD109" s="17"/>
      <c r="AE109" s="17"/>
      <c r="AF109" s="17"/>
      <c r="AG109" s="17"/>
      <c r="AH109" s="17"/>
      <c r="AI109" s="17"/>
      <c r="AJ109" s="17"/>
      <c r="AK109" s="17"/>
      <c r="AL109" s="17"/>
      <c r="AM109" s="17"/>
      <c r="AN109" s="17"/>
      <c r="AO109" s="339"/>
      <c r="AP109" s="339"/>
      <c r="AQ109" s="17"/>
      <c r="AR109" s="17"/>
    </row>
    <row r="110" spans="1:58" ht="25.5" customHeight="1">
      <c r="G110" s="979" t="s">
        <v>114</v>
      </c>
      <c r="H110" s="979"/>
      <c r="I110" s="979" t="s">
        <v>115</v>
      </c>
      <c r="J110" s="979"/>
      <c r="K110" s="979" t="s">
        <v>116</v>
      </c>
      <c r="L110" s="979"/>
      <c r="M110" s="979"/>
      <c r="N110" s="979"/>
    </row>
    <row r="111" spans="1:58">
      <c r="G111" s="19"/>
      <c r="H111" s="17"/>
      <c r="I111" s="17"/>
      <c r="J111" s="17"/>
    </row>
  </sheetData>
  <autoFilter ref="A9:BI99" xr:uid="{00000000-0001-0000-0200-000000000000}">
    <filterColumn colId="15">
      <filters>
        <filter val="INF-58-2026 Acompañamiento Operativo,técnico, jurídico administrativo y financiero; profesional y de apoyo a la gestión en cumplimiento del  proyecto."/>
      </filters>
    </filterColumn>
  </autoFilter>
  <mergeCells count="32">
    <mergeCell ref="G109:H109"/>
    <mergeCell ref="I109:J109"/>
    <mergeCell ref="K109:N109"/>
    <mergeCell ref="G110:H110"/>
    <mergeCell ref="I110:J110"/>
    <mergeCell ref="K110:N110"/>
    <mergeCell ref="K104:Q104"/>
    <mergeCell ref="K105:Q105"/>
    <mergeCell ref="G108:H108"/>
    <mergeCell ref="I108:J108"/>
    <mergeCell ref="K108:N108"/>
    <mergeCell ref="AP7:AP9"/>
    <mergeCell ref="AQ7:AQ9"/>
    <mergeCell ref="V8:X8"/>
    <mergeCell ref="Y8:Z8"/>
    <mergeCell ref="AA8:AD8"/>
    <mergeCell ref="AE8:AJ8"/>
    <mergeCell ref="AK8:AM8"/>
    <mergeCell ref="AN8:AN9"/>
    <mergeCell ref="Y7:AN7"/>
    <mergeCell ref="A1:B6"/>
    <mergeCell ref="C1:AO1"/>
    <mergeCell ref="C2:AO4"/>
    <mergeCell ref="C5:AO6"/>
    <mergeCell ref="A7:B8"/>
    <mergeCell ref="C7:D8"/>
    <mergeCell ref="E7:F8"/>
    <mergeCell ref="G7:H8"/>
    <mergeCell ref="I7:J8"/>
    <mergeCell ref="K7:M8"/>
    <mergeCell ref="AO7:AO9"/>
    <mergeCell ref="N7:Q8"/>
  </mergeCells>
  <pageMargins left="0.25" right="0.25" top="0.75" bottom="0.75" header="0.3" footer="0.3"/>
  <pageSetup scale="22" fitToHeight="6" orientation="portrait" r:id="rId1"/>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31"/>
  <sheetViews>
    <sheetView workbookViewId="0">
      <selection activeCell="B15" sqref="B15"/>
    </sheetView>
  </sheetViews>
  <sheetFormatPr defaultColWidth="11.42578125" defaultRowHeight="15"/>
  <cols>
    <col min="1" max="1" width="29.28515625" customWidth="1"/>
    <col min="2" max="2" width="20" bestFit="1" customWidth="1"/>
    <col min="4" max="4" width="17.42578125" bestFit="1" customWidth="1"/>
    <col min="6" max="6" width="20.7109375" bestFit="1" customWidth="1"/>
  </cols>
  <sheetData>
    <row r="1" spans="1:6" ht="30">
      <c r="A1" s="549" t="s">
        <v>2853</v>
      </c>
      <c r="B1" s="550" t="s">
        <v>2854</v>
      </c>
      <c r="C1" s="550" t="s">
        <v>2855</v>
      </c>
      <c r="D1" s="550" t="s">
        <v>2856</v>
      </c>
    </row>
    <row r="2" spans="1:6">
      <c r="A2" s="551" t="s">
        <v>2857</v>
      </c>
      <c r="B2" s="567">
        <f>+ADMINISTRATIVA!Q24</f>
        <v>509000000</v>
      </c>
      <c r="C2" s="568">
        <f>+B2/$B$15</f>
        <v>1.0851497435554645E-3</v>
      </c>
      <c r="D2" s="569">
        <v>5</v>
      </c>
    </row>
    <row r="3" spans="1:6">
      <c r="A3" s="553" t="s">
        <v>2858</v>
      </c>
      <c r="B3" s="570">
        <f>+HACIENDA!Q30</f>
        <v>4097278644</v>
      </c>
      <c r="C3" s="568">
        <f t="shared" ref="C3:C14" si="0">+B3/$B$15</f>
        <v>8.7350901175086079E-3</v>
      </c>
      <c r="D3" s="571">
        <v>1</v>
      </c>
    </row>
    <row r="4" spans="1:6">
      <c r="A4" s="553" t="s">
        <v>2859</v>
      </c>
      <c r="B4" s="570">
        <f>+PLANEACION!Q59</f>
        <v>2136846335.21</v>
      </c>
      <c r="C4" s="568">
        <f t="shared" si="0"/>
        <v>4.5555957812781255E-3</v>
      </c>
      <c r="D4" s="571">
        <v>8</v>
      </c>
    </row>
    <row r="5" spans="1:6" ht="14.1" customHeight="1">
      <c r="A5" s="554" t="s">
        <v>2860</v>
      </c>
      <c r="B5" s="572">
        <f>+INFRAESTRUCTURA!Q99</f>
        <v>61438697010.699005</v>
      </c>
      <c r="C5" s="568">
        <f t="shared" si="0"/>
        <v>0.1309826842937955</v>
      </c>
      <c r="D5" s="571">
        <v>26</v>
      </c>
    </row>
    <row r="6" spans="1:6">
      <c r="A6" s="553" t="s">
        <v>2861</v>
      </c>
      <c r="B6" s="926">
        <f>+INTERIOR!Q116</f>
        <v>9164206302.7454395</v>
      </c>
      <c r="C6" s="568">
        <f t="shared" si="0"/>
        <v>1.9537399055625907E-2</v>
      </c>
      <c r="D6" s="571">
        <v>13</v>
      </c>
      <c r="F6" s="656"/>
    </row>
    <row r="7" spans="1:6">
      <c r="A7" s="553" t="s">
        <v>2862</v>
      </c>
      <c r="B7" s="572">
        <f>+CULTURA!Q53</f>
        <v>5686074155.0250006</v>
      </c>
      <c r="C7" s="568">
        <f t="shared" si="0"/>
        <v>1.2122282733129144E-2</v>
      </c>
      <c r="D7" s="571">
        <v>4</v>
      </c>
    </row>
    <row r="8" spans="1:6" ht="27.6" customHeight="1">
      <c r="A8" s="554" t="s">
        <v>2863</v>
      </c>
      <c r="B8" s="572">
        <f>+AGRICULTURA!Q67</f>
        <v>5751802826.6300001</v>
      </c>
      <c r="C8" s="568">
        <f t="shared" si="0"/>
        <v>1.2262411320823459E-2</v>
      </c>
      <c r="D8" s="571">
        <v>19</v>
      </c>
    </row>
    <row r="9" spans="1:6">
      <c r="A9" s="553" t="s">
        <v>2864</v>
      </c>
      <c r="B9" s="572">
        <f>+TURISMO!Q41</f>
        <v>2721482482.75</v>
      </c>
      <c r="C9" s="568">
        <f t="shared" si="0"/>
        <v>5.8019961065753469E-3</v>
      </c>
      <c r="D9" s="571">
        <v>6</v>
      </c>
    </row>
    <row r="10" spans="1:6">
      <c r="A10" s="553" t="s">
        <v>2865</v>
      </c>
      <c r="B10" s="572">
        <f>+PRIVADA!Q26</f>
        <v>2357158000</v>
      </c>
      <c r="C10" s="568">
        <f t="shared" si="0"/>
        <v>5.025283691983717E-3</v>
      </c>
      <c r="D10" s="571">
        <v>3</v>
      </c>
    </row>
    <row r="11" spans="1:6">
      <c r="A11" s="553" t="s">
        <v>378</v>
      </c>
      <c r="B11" s="572">
        <f>+EDUCACIÓN!Q154</f>
        <v>282515600494.70001</v>
      </c>
      <c r="C11" s="568">
        <f t="shared" si="0"/>
        <v>0.60230202637964991</v>
      </c>
      <c r="D11" s="571">
        <v>5</v>
      </c>
      <c r="F11" s="655"/>
    </row>
    <row r="12" spans="1:6">
      <c r="A12" s="553" t="s">
        <v>2866</v>
      </c>
      <c r="B12" s="572">
        <f>+FAMILIA!Q142</f>
        <v>13193052586.24</v>
      </c>
      <c r="C12" s="568">
        <f t="shared" si="0"/>
        <v>2.8126596523913742E-2</v>
      </c>
      <c r="D12" s="571">
        <v>21</v>
      </c>
    </row>
    <row r="13" spans="1:6">
      <c r="A13" s="553" t="s">
        <v>2867</v>
      </c>
      <c r="B13" s="572">
        <f>+SALUD!Q217</f>
        <v>77698989028.00412</v>
      </c>
      <c r="C13" s="568">
        <f t="shared" si="0"/>
        <v>0.1656484047509971</v>
      </c>
      <c r="D13" s="571">
        <v>21</v>
      </c>
    </row>
    <row r="14" spans="1:6" ht="27" customHeight="1">
      <c r="A14" s="578" t="s">
        <v>2868</v>
      </c>
      <c r="B14" s="573">
        <f>+TIC!Q32</f>
        <v>1789500000</v>
      </c>
      <c r="C14" s="579">
        <f t="shared" si="0"/>
        <v>3.8150795011640546E-3</v>
      </c>
      <c r="D14" s="574">
        <v>4</v>
      </c>
    </row>
    <row r="15" spans="1:6">
      <c r="A15" s="580" t="s">
        <v>2869</v>
      </c>
      <c r="B15" s="556">
        <f>SUM(B2:B14)</f>
        <v>469059687866.00354</v>
      </c>
      <c r="C15" s="575">
        <f>SUM(C2:C14)</f>
        <v>1</v>
      </c>
      <c r="D15" s="576">
        <f>SUM(D2:D14)</f>
        <v>136</v>
      </c>
    </row>
    <row r="17" spans="1:4" ht="30">
      <c r="A17" s="557" t="s">
        <v>2870</v>
      </c>
      <c r="B17" s="557" t="s">
        <v>2871</v>
      </c>
      <c r="C17" s="557" t="s">
        <v>2855</v>
      </c>
      <c r="D17" s="557" t="s">
        <v>2856</v>
      </c>
    </row>
    <row r="18" spans="1:4">
      <c r="A18" s="558" t="s">
        <v>2872</v>
      </c>
      <c r="B18" s="559">
        <f>+IDTQ!Q22</f>
        <v>313000000</v>
      </c>
      <c r="C18" s="560">
        <f>+B18/$B$21</f>
        <v>1.8679656753378127E-2</v>
      </c>
      <c r="D18" s="561">
        <v>1</v>
      </c>
    </row>
    <row r="19" spans="1:4">
      <c r="A19" s="558" t="s">
        <v>2873</v>
      </c>
      <c r="B19" s="559">
        <f>+INDEPORTES!Q67</f>
        <v>9597281917</v>
      </c>
      <c r="C19" s="560">
        <f>+B19/$B$21</f>
        <v>0.57276016605419422</v>
      </c>
      <c r="D19" s="561">
        <v>2</v>
      </c>
    </row>
    <row r="20" spans="1:4">
      <c r="A20" s="558" t="s">
        <v>2874</v>
      </c>
      <c r="B20" s="559">
        <f>+PROYECTA!O34</f>
        <v>6845914630.5300007</v>
      </c>
      <c r="C20" s="560">
        <f>+B20/$B$21</f>
        <v>0.4085601771924276</v>
      </c>
      <c r="D20" s="561">
        <v>6</v>
      </c>
    </row>
    <row r="21" spans="1:4">
      <c r="A21" s="555" t="s">
        <v>2875</v>
      </c>
      <c r="B21" s="556">
        <f>+SUM(B18:B20)</f>
        <v>16756196547.530001</v>
      </c>
      <c r="C21" s="575">
        <f>+SUM(C18:C20)</f>
        <v>1</v>
      </c>
      <c r="D21" s="576">
        <f>+SUM(D18:D20)</f>
        <v>9</v>
      </c>
    </row>
    <row r="22" spans="1:4">
      <c r="A22" s="562"/>
      <c r="B22" s="562"/>
      <c r="C22" s="562"/>
      <c r="D22" s="422"/>
    </row>
    <row r="23" spans="1:4">
      <c r="A23" s="563" t="s">
        <v>2876</v>
      </c>
      <c r="B23" s="565">
        <f>+B15+B21</f>
        <v>485815884413.53357</v>
      </c>
      <c r="C23" s="566"/>
      <c r="D23" s="577">
        <f>+D15+D21</f>
        <v>145</v>
      </c>
    </row>
    <row r="27" spans="1:4">
      <c r="D27" s="552"/>
    </row>
    <row r="31" spans="1:4">
      <c r="D31" s="564"/>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64A23-A85B-4C85-AE57-EA004552BCAA}">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I42"/>
  <sheetViews>
    <sheetView topLeftCell="Q1" zoomScale="70" zoomScaleNormal="70" zoomScaleSheetLayoutView="70" workbookViewId="0">
      <pane ySplit="9" topLeftCell="O27" activePane="bottomLeft" state="frozen"/>
      <selection pane="bottomLeft" activeCell="R31" sqref="R31"/>
    </sheetView>
  </sheetViews>
  <sheetFormatPr defaultColWidth="11.42578125" defaultRowHeight="15" customHeight="1"/>
  <cols>
    <col min="1" max="1" width="12.28515625" customWidth="1"/>
    <col min="2" max="2" width="18.42578125" customWidth="1"/>
    <col min="3" max="3" width="9.42578125" customWidth="1"/>
    <col min="4" max="4" width="11.42578125" customWidth="1"/>
    <col min="5" max="5" width="9.7109375" customWidth="1"/>
    <col min="6" max="6" width="19" customWidth="1"/>
    <col min="7" max="7" width="13.7109375" customWidth="1"/>
    <col min="8" max="8" width="19.140625" customWidth="1"/>
    <col min="9" max="9" width="13.7109375" customWidth="1"/>
    <col min="10" max="10" width="19" customWidth="1"/>
    <col min="11" max="13" width="15.7109375" customWidth="1"/>
    <col min="14" max="14" width="17.42578125" customWidth="1"/>
    <col min="15" max="15" width="40" customWidth="1"/>
    <col min="16" max="16" width="44.7109375" customWidth="1"/>
    <col min="17" max="21" width="21.5703125" customWidth="1"/>
    <col min="22" max="22" width="57.140625" customWidth="1"/>
    <col min="23" max="23" width="12" customWidth="1"/>
    <col min="24" max="24" width="17.42578125" customWidth="1"/>
    <col min="25" max="25" width="10.7109375" customWidth="1"/>
    <col min="26" max="26" width="11" customWidth="1"/>
    <col min="27" max="27" width="9.28515625" customWidth="1"/>
    <col min="28" max="28" width="7.42578125" customWidth="1"/>
    <col min="29" max="29" width="9.42578125" customWidth="1"/>
    <col min="30" max="30" width="8.42578125" customWidth="1"/>
    <col min="31" max="31" width="9.42578125" customWidth="1"/>
    <col min="32" max="32" width="8.85546875" customWidth="1"/>
    <col min="33" max="33" width="6.7109375" customWidth="1"/>
    <col min="34" max="34" width="6.42578125" customWidth="1"/>
    <col min="35" max="35" width="6.28515625" customWidth="1"/>
    <col min="36" max="36" width="6.42578125" customWidth="1"/>
    <col min="37" max="37" width="11.7109375" customWidth="1"/>
    <col min="38" max="38" width="10.85546875" customWidth="1"/>
    <col min="39" max="39" width="7.28515625" customWidth="1"/>
    <col min="40" max="40" width="11" customWidth="1"/>
    <col min="41" max="41" width="14.28515625" customWidth="1"/>
    <col min="42" max="42" width="14.42578125" customWidth="1"/>
    <col min="43" max="43" width="38.42578125" customWidth="1"/>
  </cols>
  <sheetData>
    <row r="1" spans="1:61">
      <c r="A1" s="1001"/>
      <c r="B1" s="1001"/>
      <c r="C1" s="1002" t="s">
        <v>0</v>
      </c>
      <c r="D1" s="1002"/>
      <c r="E1" s="1002"/>
      <c r="F1" s="1002"/>
      <c r="G1" s="1002"/>
      <c r="H1" s="1002"/>
      <c r="I1" s="1002"/>
      <c r="J1" s="1002"/>
      <c r="K1" s="1002"/>
      <c r="L1" s="1002"/>
      <c r="M1" s="1002"/>
      <c r="N1" s="1002"/>
      <c r="O1" s="1002"/>
      <c r="P1" s="1002"/>
      <c r="Q1" s="1002"/>
      <c r="R1" s="1002"/>
      <c r="S1" s="1002"/>
      <c r="T1" s="1002"/>
      <c r="U1" s="1002"/>
      <c r="V1" s="1002"/>
      <c r="W1" s="1002"/>
      <c r="X1" s="1002"/>
      <c r="Y1" s="1002"/>
      <c r="Z1" s="1002"/>
      <c r="AA1" s="1002"/>
      <c r="AB1" s="1002"/>
      <c r="AC1" s="1002"/>
      <c r="AD1" s="1002"/>
      <c r="AE1" s="1002"/>
      <c r="AF1" s="1002"/>
      <c r="AG1" s="1002"/>
      <c r="AH1" s="1002"/>
      <c r="AI1" s="1002"/>
      <c r="AJ1" s="1002"/>
      <c r="AK1" s="1002"/>
      <c r="AL1" s="1002"/>
      <c r="AM1" s="1002"/>
      <c r="AN1" s="1002"/>
      <c r="AO1" s="1002"/>
    </row>
    <row r="2" spans="1:61" s="2" customFormat="1" ht="14.45" customHeight="1">
      <c r="A2" s="1001"/>
      <c r="B2" s="1001"/>
      <c r="C2" s="1003" t="s">
        <v>117</v>
      </c>
      <c r="D2" s="1003"/>
      <c r="E2" s="1003"/>
      <c r="F2" s="1003"/>
      <c r="G2" s="1003"/>
      <c r="H2" s="1003"/>
      <c r="I2" s="1003"/>
      <c r="J2" s="1003"/>
      <c r="K2" s="1003"/>
      <c r="L2" s="1003"/>
      <c r="M2" s="1003"/>
      <c r="N2" s="1003"/>
      <c r="O2" s="1003"/>
      <c r="P2" s="1003"/>
      <c r="Q2" s="1003"/>
      <c r="R2" s="1003"/>
      <c r="S2" s="1003"/>
      <c r="T2" s="1003"/>
      <c r="U2" s="1003"/>
      <c r="V2" s="1003"/>
      <c r="W2" s="1003"/>
      <c r="X2" s="1003"/>
      <c r="Y2" s="1003"/>
      <c r="Z2" s="1003"/>
      <c r="AA2" s="1003"/>
      <c r="AB2" s="1003"/>
      <c r="AC2" s="1003"/>
      <c r="AD2" s="1003"/>
      <c r="AE2" s="1003"/>
      <c r="AF2" s="1003"/>
      <c r="AG2" s="1003"/>
      <c r="AH2" s="1003"/>
      <c r="AI2" s="1003"/>
      <c r="AJ2" s="1003"/>
      <c r="AK2" s="1003"/>
      <c r="AL2" s="1003"/>
      <c r="AM2" s="1003"/>
      <c r="AN2" s="1003"/>
      <c r="AO2" s="1003"/>
      <c r="AP2" s="25" t="s">
        <v>2</v>
      </c>
      <c r="AQ2" s="957" t="s">
        <v>3</v>
      </c>
      <c r="AR2" s="1"/>
      <c r="AS2" s="1"/>
      <c r="AT2" s="1"/>
      <c r="AU2" s="1"/>
      <c r="AV2" s="1"/>
      <c r="AW2" s="1"/>
      <c r="AX2" s="1"/>
      <c r="AY2" s="1"/>
      <c r="AZ2" s="1"/>
      <c r="BA2" s="1"/>
      <c r="BB2" s="1"/>
      <c r="BC2" s="1"/>
      <c r="BD2" s="1"/>
      <c r="BE2" s="1"/>
      <c r="BF2" s="1"/>
      <c r="BG2" s="1"/>
      <c r="BH2" s="1"/>
      <c r="BI2" s="1"/>
    </row>
    <row r="3" spans="1:61" s="2" customFormat="1" ht="11.25" customHeight="1">
      <c r="A3" s="1001"/>
      <c r="B3" s="1001"/>
      <c r="C3" s="1003"/>
      <c r="D3" s="1003"/>
      <c r="E3" s="1003"/>
      <c r="F3" s="1003"/>
      <c r="G3" s="1003"/>
      <c r="H3" s="1003"/>
      <c r="I3" s="1003"/>
      <c r="J3" s="1003"/>
      <c r="K3" s="1003"/>
      <c r="L3" s="1003"/>
      <c r="M3" s="1003"/>
      <c r="N3" s="1003"/>
      <c r="O3" s="1003"/>
      <c r="P3" s="1003"/>
      <c r="Q3" s="1003"/>
      <c r="R3" s="1003"/>
      <c r="S3" s="1003"/>
      <c r="T3" s="1003"/>
      <c r="U3" s="1003"/>
      <c r="V3" s="1003"/>
      <c r="W3" s="1003"/>
      <c r="X3" s="1003"/>
      <c r="Y3" s="1003"/>
      <c r="Z3" s="1003"/>
      <c r="AA3" s="1003"/>
      <c r="AB3" s="1003"/>
      <c r="AC3" s="1003"/>
      <c r="AD3" s="1003"/>
      <c r="AE3" s="1003"/>
      <c r="AF3" s="1003"/>
      <c r="AG3" s="1003"/>
      <c r="AH3" s="1003"/>
      <c r="AI3" s="1003"/>
      <c r="AJ3" s="1003"/>
      <c r="AK3" s="1003"/>
      <c r="AL3" s="1003"/>
      <c r="AM3" s="1003"/>
      <c r="AN3" s="1003"/>
      <c r="AO3" s="1003"/>
      <c r="AP3" s="42" t="s">
        <v>4</v>
      </c>
      <c r="AQ3" s="40">
        <v>14</v>
      </c>
      <c r="AR3" s="1"/>
      <c r="AS3" s="1"/>
      <c r="AT3" s="1"/>
      <c r="AU3" s="1"/>
      <c r="AV3" s="1"/>
      <c r="AW3" s="1"/>
      <c r="AX3" s="1"/>
      <c r="AY3" s="1"/>
      <c r="AZ3" s="1"/>
      <c r="BA3" s="1"/>
      <c r="BB3" s="1"/>
      <c r="BC3" s="1"/>
      <c r="BD3" s="1"/>
      <c r="BE3" s="1"/>
      <c r="BF3" s="1"/>
      <c r="BG3" s="1"/>
      <c r="BH3" s="1"/>
      <c r="BI3" s="1"/>
    </row>
    <row r="4" spans="1:61" s="2" customFormat="1" ht="18.75" customHeight="1">
      <c r="A4" s="1001"/>
      <c r="B4" s="1001"/>
      <c r="C4" s="1003"/>
      <c r="D4" s="1003"/>
      <c r="E4" s="1003"/>
      <c r="F4" s="1003"/>
      <c r="G4" s="1003"/>
      <c r="H4" s="1003"/>
      <c r="I4" s="1003"/>
      <c r="J4" s="1003"/>
      <c r="K4" s="1003"/>
      <c r="L4" s="1003"/>
      <c r="M4" s="1003"/>
      <c r="N4" s="1003"/>
      <c r="O4" s="1003"/>
      <c r="P4" s="1003"/>
      <c r="Q4" s="1003"/>
      <c r="R4" s="1003"/>
      <c r="S4" s="1003"/>
      <c r="T4" s="1003"/>
      <c r="U4" s="1003"/>
      <c r="V4" s="1003"/>
      <c r="W4" s="1003"/>
      <c r="X4" s="1003"/>
      <c r="Y4" s="1003"/>
      <c r="Z4" s="1003"/>
      <c r="AA4" s="1003"/>
      <c r="AB4" s="1003"/>
      <c r="AC4" s="1003"/>
      <c r="AD4" s="1003"/>
      <c r="AE4" s="1003"/>
      <c r="AF4" s="1003"/>
      <c r="AG4" s="1003"/>
      <c r="AH4" s="1003"/>
      <c r="AI4" s="1003"/>
      <c r="AJ4" s="1003"/>
      <c r="AK4" s="1003"/>
      <c r="AL4" s="1003"/>
      <c r="AM4" s="1003"/>
      <c r="AN4" s="1003"/>
      <c r="AO4" s="1003"/>
      <c r="AP4" s="42" t="s">
        <v>5</v>
      </c>
      <c r="AQ4" s="41">
        <v>45884</v>
      </c>
      <c r="AR4" s="1"/>
      <c r="AS4" s="1"/>
      <c r="AT4" s="1"/>
      <c r="AU4" s="1"/>
      <c r="AV4" s="1"/>
      <c r="AW4" s="1"/>
      <c r="AX4" s="1"/>
      <c r="AY4" s="1"/>
      <c r="AZ4" s="1"/>
      <c r="BA4" s="1"/>
      <c r="BB4" s="1"/>
      <c r="BC4" s="1"/>
      <c r="BD4" s="1"/>
      <c r="BE4" s="1"/>
      <c r="BF4" s="1"/>
      <c r="BG4" s="1"/>
      <c r="BH4" s="1"/>
      <c r="BI4" s="1"/>
    </row>
    <row r="5" spans="1:61" s="2" customFormat="1" ht="14.45" customHeight="1">
      <c r="A5" s="1001"/>
      <c r="B5" s="1001"/>
      <c r="C5" s="1004" t="s">
        <v>6</v>
      </c>
      <c r="D5" s="1004"/>
      <c r="E5" s="1004"/>
      <c r="F5" s="1004"/>
      <c r="G5" s="1004"/>
      <c r="H5" s="1004"/>
      <c r="I5" s="1004"/>
      <c r="J5" s="1004"/>
      <c r="K5" s="1004"/>
      <c r="L5" s="1004"/>
      <c r="M5" s="1004"/>
      <c r="N5" s="1004"/>
      <c r="O5" s="1004"/>
      <c r="P5" s="1004"/>
      <c r="Q5" s="1004"/>
      <c r="R5" s="1004"/>
      <c r="S5" s="1004"/>
      <c r="T5" s="1004"/>
      <c r="U5" s="1004"/>
      <c r="V5" s="1004"/>
      <c r="W5" s="1004"/>
      <c r="X5" s="1004"/>
      <c r="Y5" s="1004"/>
      <c r="Z5" s="1004"/>
      <c r="AA5" s="1004"/>
      <c r="AB5" s="1004"/>
      <c r="AC5" s="1004"/>
      <c r="AD5" s="1004"/>
      <c r="AE5" s="1004"/>
      <c r="AF5" s="1004"/>
      <c r="AG5" s="1004"/>
      <c r="AH5" s="1004"/>
      <c r="AI5" s="1004"/>
      <c r="AJ5" s="1004"/>
      <c r="AK5" s="1004"/>
      <c r="AL5" s="1004"/>
      <c r="AM5" s="1004"/>
      <c r="AN5" s="1004"/>
      <c r="AO5" s="1004"/>
      <c r="AP5" s="25" t="s">
        <v>7</v>
      </c>
      <c r="AQ5" s="3" t="s">
        <v>8</v>
      </c>
      <c r="AR5" s="1"/>
      <c r="AS5" s="1"/>
      <c r="AT5" s="1"/>
      <c r="AU5" s="1"/>
      <c r="AV5" s="1"/>
      <c r="AW5" s="1"/>
      <c r="AX5" s="1"/>
      <c r="AY5" s="1"/>
      <c r="AZ5" s="1"/>
      <c r="BA5" s="1"/>
      <c r="BB5" s="1"/>
      <c r="BC5" s="1"/>
      <c r="BD5" s="1"/>
      <c r="BE5" s="1"/>
      <c r="BF5" s="1"/>
      <c r="BG5" s="1"/>
      <c r="BH5" s="1"/>
      <c r="BI5" s="1"/>
    </row>
    <row r="6" spans="1:61" s="2" customFormat="1" ht="9.75" customHeight="1">
      <c r="A6" s="1001"/>
      <c r="B6" s="1001"/>
      <c r="C6" s="1004"/>
      <c r="D6" s="1004"/>
      <c r="E6" s="1004"/>
      <c r="F6" s="1004"/>
      <c r="G6" s="1004"/>
      <c r="H6" s="1004"/>
      <c r="I6" s="1004"/>
      <c r="J6" s="1004"/>
      <c r="K6" s="1005"/>
      <c r="L6" s="1005"/>
      <c r="M6" s="1005"/>
      <c r="N6" s="1004"/>
      <c r="O6" s="1004"/>
      <c r="P6" s="1004"/>
      <c r="Q6" s="1004"/>
      <c r="R6" s="1004"/>
      <c r="S6" s="1004"/>
      <c r="T6" s="1004"/>
      <c r="U6" s="1004"/>
      <c r="V6" s="1004"/>
      <c r="W6" s="1004"/>
      <c r="X6" s="1004"/>
      <c r="Y6" s="1004"/>
      <c r="Z6" s="1004"/>
      <c r="AA6" s="1004"/>
      <c r="AB6" s="1004"/>
      <c r="AC6" s="1004"/>
      <c r="AD6" s="1004"/>
      <c r="AE6" s="1004"/>
      <c r="AF6" s="1004"/>
      <c r="AG6" s="1004"/>
      <c r="AH6" s="1004"/>
      <c r="AI6" s="1004"/>
      <c r="AJ6" s="1004"/>
      <c r="AK6" s="1004"/>
      <c r="AL6" s="1004"/>
      <c r="AM6" s="1004"/>
      <c r="AN6" s="1004"/>
      <c r="AO6" s="1004"/>
      <c r="AP6" s="4"/>
      <c r="AQ6" s="5"/>
      <c r="AR6" s="1"/>
      <c r="AS6" s="1"/>
      <c r="AT6" s="1"/>
      <c r="AU6" s="1"/>
      <c r="AV6" s="1"/>
      <c r="AW6" s="1"/>
      <c r="AX6" s="1"/>
      <c r="AY6" s="1"/>
      <c r="AZ6" s="1"/>
      <c r="BA6" s="1"/>
      <c r="BB6" s="1"/>
      <c r="BC6" s="1"/>
      <c r="BD6" s="1"/>
      <c r="BE6" s="1"/>
      <c r="BF6" s="1"/>
      <c r="BG6" s="1"/>
      <c r="BH6" s="1"/>
      <c r="BI6" s="1"/>
    </row>
    <row r="7" spans="1:61" ht="21" customHeight="1">
      <c r="A7" s="1006" t="s">
        <v>9</v>
      </c>
      <c r="B7" s="1007"/>
      <c r="C7" s="1006" t="s">
        <v>10</v>
      </c>
      <c r="D7" s="1010"/>
      <c r="E7" s="1006" t="s">
        <v>11</v>
      </c>
      <c r="F7" s="1010"/>
      <c r="G7" s="1006" t="s">
        <v>12</v>
      </c>
      <c r="H7" s="1010"/>
      <c r="I7" s="1012" t="s">
        <v>13</v>
      </c>
      <c r="J7" s="1012"/>
      <c r="K7" s="1014" t="s">
        <v>14</v>
      </c>
      <c r="L7" s="1014"/>
      <c r="M7" s="1014"/>
      <c r="N7" s="1015" t="s">
        <v>15</v>
      </c>
      <c r="O7" s="1015"/>
      <c r="P7" s="1015"/>
      <c r="Q7" s="1015"/>
      <c r="R7" s="33"/>
      <c r="S7" s="958"/>
      <c r="T7" s="958"/>
      <c r="U7" s="958"/>
      <c r="V7" s="6"/>
      <c r="W7" s="6"/>
      <c r="X7" s="7"/>
      <c r="Y7" s="998" t="s">
        <v>16</v>
      </c>
      <c r="Z7" s="999"/>
      <c r="AA7" s="999"/>
      <c r="AB7" s="999"/>
      <c r="AC7" s="999"/>
      <c r="AD7" s="999"/>
      <c r="AE7" s="999"/>
      <c r="AF7" s="999"/>
      <c r="AG7" s="999"/>
      <c r="AH7" s="999"/>
      <c r="AI7" s="999"/>
      <c r="AJ7" s="999"/>
      <c r="AK7" s="999"/>
      <c r="AL7" s="999"/>
      <c r="AM7" s="999"/>
      <c r="AN7" s="1000"/>
      <c r="AO7" s="987" t="s">
        <v>17</v>
      </c>
      <c r="AP7" s="987" t="s">
        <v>18</v>
      </c>
      <c r="AQ7" s="987" t="s">
        <v>19</v>
      </c>
    </row>
    <row r="8" spans="1:61" s="9" customFormat="1" ht="12.75" customHeight="1">
      <c r="A8" s="1008"/>
      <c r="B8" s="1009"/>
      <c r="C8" s="1008"/>
      <c r="D8" s="1011"/>
      <c r="E8" s="1008"/>
      <c r="F8" s="1011"/>
      <c r="G8" s="1008"/>
      <c r="H8" s="1011"/>
      <c r="I8" s="1013"/>
      <c r="J8" s="1013"/>
      <c r="K8" s="1014"/>
      <c r="L8" s="1014"/>
      <c r="M8" s="1014"/>
      <c r="N8" s="1016"/>
      <c r="O8" s="1016"/>
      <c r="P8" s="1016"/>
      <c r="Q8" s="1016"/>
      <c r="R8" s="34"/>
      <c r="S8" s="959"/>
      <c r="T8" s="959"/>
      <c r="U8" s="959"/>
      <c r="V8" s="990" t="s">
        <v>20</v>
      </c>
      <c r="W8" s="991"/>
      <c r="X8" s="992"/>
      <c r="Y8" s="993" t="s">
        <v>21</v>
      </c>
      <c r="Z8" s="994"/>
      <c r="AA8" s="995" t="s">
        <v>22</v>
      </c>
      <c r="AB8" s="994"/>
      <c r="AC8" s="994"/>
      <c r="AD8" s="994"/>
      <c r="AE8" s="996" t="s">
        <v>23</v>
      </c>
      <c r="AF8" s="994"/>
      <c r="AG8" s="994"/>
      <c r="AH8" s="994"/>
      <c r="AI8" s="994"/>
      <c r="AJ8" s="994"/>
      <c r="AK8" s="995" t="s">
        <v>24</v>
      </c>
      <c r="AL8" s="994"/>
      <c r="AM8" s="994"/>
      <c r="AN8" s="997" t="s">
        <v>25</v>
      </c>
      <c r="AO8" s="988"/>
      <c r="AP8" s="988"/>
      <c r="AQ8" s="988"/>
      <c r="AR8" s="8"/>
      <c r="AS8" s="8"/>
      <c r="AT8" s="8"/>
      <c r="AU8" s="8"/>
      <c r="AV8" s="8"/>
      <c r="AW8" s="8"/>
      <c r="AX8" s="8"/>
      <c r="AY8" s="8"/>
      <c r="AZ8" s="8"/>
      <c r="BA8" s="8"/>
      <c r="BB8" s="8"/>
      <c r="BC8" s="8"/>
      <c r="BD8" s="8"/>
      <c r="BE8" s="8"/>
      <c r="BF8" s="8"/>
    </row>
    <row r="9" spans="1:61" s="16" customFormat="1" ht="55.5" customHeight="1">
      <c r="A9" s="10" t="s">
        <v>26</v>
      </c>
      <c r="B9" s="10" t="s">
        <v>27</v>
      </c>
      <c r="C9" s="10" t="s">
        <v>28</v>
      </c>
      <c r="D9" s="11" t="s">
        <v>29</v>
      </c>
      <c r="E9" s="11" t="s">
        <v>28</v>
      </c>
      <c r="F9" s="11" t="s">
        <v>29</v>
      </c>
      <c r="G9" s="12" t="s">
        <v>26</v>
      </c>
      <c r="H9" s="12" t="s">
        <v>29</v>
      </c>
      <c r="I9" s="12" t="s">
        <v>30</v>
      </c>
      <c r="J9" s="12" t="s">
        <v>31</v>
      </c>
      <c r="K9" s="39" t="s">
        <v>32</v>
      </c>
      <c r="L9" s="39" t="s">
        <v>33</v>
      </c>
      <c r="M9" s="39" t="s">
        <v>25</v>
      </c>
      <c r="N9" s="12" t="s">
        <v>34</v>
      </c>
      <c r="O9" s="12" t="s">
        <v>35</v>
      </c>
      <c r="P9" s="11" t="s">
        <v>36</v>
      </c>
      <c r="Q9" s="13" t="s">
        <v>37</v>
      </c>
      <c r="R9" s="35" t="s">
        <v>38</v>
      </c>
      <c r="S9" s="13" t="s">
        <v>39</v>
      </c>
      <c r="T9" s="13" t="s">
        <v>40</v>
      </c>
      <c r="U9" s="13" t="s">
        <v>41</v>
      </c>
      <c r="V9" s="10" t="s">
        <v>42</v>
      </c>
      <c r="W9" s="11" t="s">
        <v>26</v>
      </c>
      <c r="X9" s="11" t="s">
        <v>27</v>
      </c>
      <c r="Y9" s="14" t="s">
        <v>43</v>
      </c>
      <c r="Z9" s="15" t="s">
        <v>44</v>
      </c>
      <c r="AA9" s="14" t="s">
        <v>45</v>
      </c>
      <c r="AB9" s="14" t="s">
        <v>46</v>
      </c>
      <c r="AC9" s="14" t="s">
        <v>47</v>
      </c>
      <c r="AD9" s="14" t="s">
        <v>48</v>
      </c>
      <c r="AE9" s="14" t="s">
        <v>49</v>
      </c>
      <c r="AF9" s="14" t="s">
        <v>50</v>
      </c>
      <c r="AG9" s="14" t="s">
        <v>51</v>
      </c>
      <c r="AH9" s="14" t="s">
        <v>52</v>
      </c>
      <c r="AI9" s="14" t="s">
        <v>53</v>
      </c>
      <c r="AJ9" s="14" t="s">
        <v>54</v>
      </c>
      <c r="AK9" s="14" t="s">
        <v>55</v>
      </c>
      <c r="AL9" s="14" t="s">
        <v>56</v>
      </c>
      <c r="AM9" s="14" t="s">
        <v>57</v>
      </c>
      <c r="AN9" s="997"/>
      <c r="AO9" s="989"/>
      <c r="AP9" s="989"/>
      <c r="AQ9" s="989"/>
      <c r="AR9" s="8"/>
      <c r="AS9" s="8"/>
      <c r="AT9" s="8"/>
      <c r="AU9" s="8"/>
      <c r="AV9" s="8"/>
      <c r="AW9" s="8"/>
      <c r="AX9" s="8"/>
      <c r="AY9" s="8"/>
      <c r="AZ9" s="8"/>
      <c r="BA9" s="8"/>
      <c r="BB9" s="8"/>
      <c r="BC9" s="8"/>
      <c r="BD9" s="8"/>
      <c r="BE9" s="8"/>
      <c r="BF9" s="8"/>
    </row>
    <row r="10" spans="1:61" ht="159" customHeight="1">
      <c r="A10" s="23">
        <v>4</v>
      </c>
      <c r="B10" s="133" t="s">
        <v>58</v>
      </c>
      <c r="C10" s="134">
        <v>45</v>
      </c>
      <c r="D10" s="133" t="s">
        <v>59</v>
      </c>
      <c r="E10" s="23">
        <v>4599</v>
      </c>
      <c r="F10" s="135" t="s">
        <v>60</v>
      </c>
      <c r="G10" s="23">
        <v>4599002</v>
      </c>
      <c r="H10" s="133" t="s">
        <v>72</v>
      </c>
      <c r="I10" s="23">
        <v>459900201</v>
      </c>
      <c r="J10" s="133" t="s">
        <v>118</v>
      </c>
      <c r="K10" s="115">
        <v>1</v>
      </c>
      <c r="L10" s="115"/>
      <c r="M10" s="115">
        <f t="shared" ref="M10:M29" si="0">+K10</f>
        <v>1</v>
      </c>
      <c r="N10" s="23">
        <v>2024003630014</v>
      </c>
      <c r="O10" s="133" t="s">
        <v>119</v>
      </c>
      <c r="P10" s="136" t="s">
        <v>120</v>
      </c>
      <c r="Q10" s="948">
        <f>40000000+50000000</f>
        <v>90000000</v>
      </c>
      <c r="R10" s="138"/>
      <c r="S10" s="139"/>
      <c r="T10" s="139"/>
      <c r="U10" s="140">
        <f>SUM(Q10:T10)</f>
        <v>90000000</v>
      </c>
      <c r="V10" s="141" t="s">
        <v>121</v>
      </c>
      <c r="W10" s="112">
        <v>20</v>
      </c>
      <c r="X10" s="113" t="s">
        <v>67</v>
      </c>
      <c r="Y10" s="142">
        <v>293304</v>
      </c>
      <c r="Z10" s="142">
        <v>272744</v>
      </c>
      <c r="AA10" s="143">
        <v>99059</v>
      </c>
      <c r="AB10" s="143">
        <v>36139</v>
      </c>
      <c r="AC10" s="143">
        <v>314186</v>
      </c>
      <c r="AD10" s="143">
        <v>116664</v>
      </c>
      <c r="AE10" s="143">
        <v>3247</v>
      </c>
      <c r="AF10" s="143">
        <v>2565</v>
      </c>
      <c r="AG10" s="143">
        <v>25</v>
      </c>
      <c r="AH10" s="143">
        <v>7</v>
      </c>
      <c r="AI10" s="142">
        <v>0</v>
      </c>
      <c r="AJ10" s="142">
        <v>0</v>
      </c>
      <c r="AK10" s="143">
        <v>50946</v>
      </c>
      <c r="AL10" s="143">
        <v>28544</v>
      </c>
      <c r="AM10" s="143">
        <v>53914</v>
      </c>
      <c r="AN10" s="142">
        <v>566048</v>
      </c>
      <c r="AO10" s="144">
        <v>46023</v>
      </c>
      <c r="AP10" s="144">
        <v>46387</v>
      </c>
      <c r="AQ10" s="145" t="s">
        <v>122</v>
      </c>
    </row>
    <row r="11" spans="1:61" ht="159" customHeight="1">
      <c r="A11" s="23">
        <v>4</v>
      </c>
      <c r="B11" s="133" t="s">
        <v>58</v>
      </c>
      <c r="C11" s="134">
        <v>45</v>
      </c>
      <c r="D11" s="133" t="s">
        <v>59</v>
      </c>
      <c r="E11" s="23">
        <v>4599</v>
      </c>
      <c r="F11" s="135" t="s">
        <v>60</v>
      </c>
      <c r="G11" s="23">
        <v>4599002</v>
      </c>
      <c r="H11" s="133" t="s">
        <v>72</v>
      </c>
      <c r="I11" s="23">
        <v>459900201</v>
      </c>
      <c r="J11" s="133" t="s">
        <v>118</v>
      </c>
      <c r="K11" s="115">
        <v>1</v>
      </c>
      <c r="L11" s="115"/>
      <c r="M11" s="115">
        <f t="shared" si="0"/>
        <v>1</v>
      </c>
      <c r="N11" s="23">
        <v>2024003630014</v>
      </c>
      <c r="O11" s="133" t="s">
        <v>119</v>
      </c>
      <c r="P11" s="136" t="s">
        <v>123</v>
      </c>
      <c r="Q11" s="948">
        <v>1325000</v>
      </c>
      <c r="R11" s="138"/>
      <c r="S11" s="139"/>
      <c r="T11" s="139"/>
      <c r="U11" s="140">
        <f t="shared" ref="U11:U29" si="1">SUM(Q11:T11)</f>
        <v>1325000</v>
      </c>
      <c r="V11" s="141" t="s">
        <v>124</v>
      </c>
      <c r="W11" s="112">
        <v>20</v>
      </c>
      <c r="X11" s="113" t="s">
        <v>67</v>
      </c>
      <c r="Y11" s="142">
        <v>293304</v>
      </c>
      <c r="Z11" s="142">
        <v>272744</v>
      </c>
      <c r="AA11" s="143">
        <v>99059</v>
      </c>
      <c r="AB11" s="143">
        <v>36139</v>
      </c>
      <c r="AC11" s="143">
        <v>314186</v>
      </c>
      <c r="AD11" s="143">
        <v>116664</v>
      </c>
      <c r="AE11" s="143">
        <v>3247</v>
      </c>
      <c r="AF11" s="143">
        <v>2565</v>
      </c>
      <c r="AG11" s="143">
        <v>25</v>
      </c>
      <c r="AH11" s="143">
        <v>7</v>
      </c>
      <c r="AI11" s="142">
        <v>0</v>
      </c>
      <c r="AJ11" s="142">
        <v>0</v>
      </c>
      <c r="AK11" s="143">
        <v>50946</v>
      </c>
      <c r="AL11" s="143">
        <v>28544</v>
      </c>
      <c r="AM11" s="143">
        <v>53914</v>
      </c>
      <c r="AN11" s="142">
        <v>566048</v>
      </c>
      <c r="AO11" s="144">
        <v>46023</v>
      </c>
      <c r="AP11" s="144">
        <v>46387</v>
      </c>
      <c r="AQ11" s="145" t="s">
        <v>122</v>
      </c>
    </row>
    <row r="12" spans="1:61" ht="159" customHeight="1">
      <c r="A12" s="23">
        <v>4</v>
      </c>
      <c r="B12" s="133" t="s">
        <v>58</v>
      </c>
      <c r="C12" s="134">
        <v>45</v>
      </c>
      <c r="D12" s="133" t="s">
        <v>59</v>
      </c>
      <c r="E12" s="23">
        <v>4599</v>
      </c>
      <c r="F12" s="135" t="s">
        <v>60</v>
      </c>
      <c r="G12" s="23">
        <v>4599002</v>
      </c>
      <c r="H12" s="133" t="s">
        <v>72</v>
      </c>
      <c r="I12" s="23">
        <v>459900201</v>
      </c>
      <c r="J12" s="133" t="s">
        <v>118</v>
      </c>
      <c r="K12" s="115">
        <v>1</v>
      </c>
      <c r="L12" s="115"/>
      <c r="M12" s="115">
        <f t="shared" si="0"/>
        <v>1</v>
      </c>
      <c r="N12" s="23">
        <v>2024003630014</v>
      </c>
      <c r="O12" s="133" t="s">
        <v>119</v>
      </c>
      <c r="P12" s="136" t="s">
        <v>125</v>
      </c>
      <c r="Q12" s="949">
        <v>5000000</v>
      </c>
      <c r="R12" s="138"/>
      <c r="S12" s="139"/>
      <c r="T12" s="139"/>
      <c r="U12" s="140">
        <f t="shared" si="1"/>
        <v>5000000</v>
      </c>
      <c r="V12" s="141" t="s">
        <v>126</v>
      </c>
      <c r="W12" s="112">
        <v>20</v>
      </c>
      <c r="X12" s="113" t="s">
        <v>67</v>
      </c>
      <c r="Y12" s="142">
        <v>293304</v>
      </c>
      <c r="Z12" s="142">
        <v>272744</v>
      </c>
      <c r="AA12" s="143">
        <v>99059</v>
      </c>
      <c r="AB12" s="143">
        <v>36139</v>
      </c>
      <c r="AC12" s="143">
        <v>314186</v>
      </c>
      <c r="AD12" s="143">
        <v>116664</v>
      </c>
      <c r="AE12" s="143">
        <v>3247</v>
      </c>
      <c r="AF12" s="143">
        <v>2565</v>
      </c>
      <c r="AG12" s="143">
        <v>25</v>
      </c>
      <c r="AH12" s="143">
        <v>7</v>
      </c>
      <c r="AI12" s="142">
        <v>0</v>
      </c>
      <c r="AJ12" s="142">
        <v>0</v>
      </c>
      <c r="AK12" s="143">
        <v>50946</v>
      </c>
      <c r="AL12" s="143">
        <v>28544</v>
      </c>
      <c r="AM12" s="143">
        <v>53914</v>
      </c>
      <c r="AN12" s="142">
        <v>566048</v>
      </c>
      <c r="AO12" s="144">
        <v>46023</v>
      </c>
      <c r="AP12" s="144">
        <v>46387</v>
      </c>
      <c r="AQ12" s="145" t="s">
        <v>122</v>
      </c>
    </row>
    <row r="13" spans="1:61" ht="159" customHeight="1">
      <c r="A13" s="23">
        <v>4</v>
      </c>
      <c r="B13" s="133" t="s">
        <v>58</v>
      </c>
      <c r="C13" s="134">
        <v>45</v>
      </c>
      <c r="D13" s="133" t="s">
        <v>59</v>
      </c>
      <c r="E13" s="23">
        <v>4599</v>
      </c>
      <c r="F13" s="135" t="s">
        <v>60</v>
      </c>
      <c r="G13" s="23">
        <v>4599002</v>
      </c>
      <c r="H13" s="133" t="s">
        <v>72</v>
      </c>
      <c r="I13" s="23">
        <v>459900201</v>
      </c>
      <c r="J13" s="133" t="s">
        <v>118</v>
      </c>
      <c r="K13" s="115">
        <v>1</v>
      </c>
      <c r="L13" s="115"/>
      <c r="M13" s="115">
        <f t="shared" si="0"/>
        <v>1</v>
      </c>
      <c r="N13" s="23">
        <v>2024003630014</v>
      </c>
      <c r="O13" s="133" t="s">
        <v>119</v>
      </c>
      <c r="P13" s="136" t="s">
        <v>127</v>
      </c>
      <c r="Q13" s="949">
        <v>60000000</v>
      </c>
      <c r="R13" s="138"/>
      <c r="S13" s="139"/>
      <c r="T13" s="139"/>
      <c r="U13" s="140">
        <f t="shared" si="1"/>
        <v>60000000</v>
      </c>
      <c r="V13" s="141" t="s">
        <v>128</v>
      </c>
      <c r="W13" s="112">
        <v>20</v>
      </c>
      <c r="X13" s="113" t="s">
        <v>67</v>
      </c>
      <c r="Y13" s="142">
        <v>293304</v>
      </c>
      <c r="Z13" s="142">
        <v>272744</v>
      </c>
      <c r="AA13" s="143">
        <v>99059</v>
      </c>
      <c r="AB13" s="143">
        <v>36139</v>
      </c>
      <c r="AC13" s="143">
        <v>314186</v>
      </c>
      <c r="AD13" s="143">
        <v>116664</v>
      </c>
      <c r="AE13" s="143">
        <v>3247</v>
      </c>
      <c r="AF13" s="143">
        <v>2565</v>
      </c>
      <c r="AG13" s="143">
        <v>25</v>
      </c>
      <c r="AH13" s="143">
        <v>7</v>
      </c>
      <c r="AI13" s="142">
        <v>0</v>
      </c>
      <c r="AJ13" s="142">
        <v>0</v>
      </c>
      <c r="AK13" s="143">
        <v>50946</v>
      </c>
      <c r="AL13" s="143">
        <v>28544</v>
      </c>
      <c r="AM13" s="143">
        <v>53914</v>
      </c>
      <c r="AN13" s="142">
        <v>566048</v>
      </c>
      <c r="AO13" s="144">
        <v>46023</v>
      </c>
      <c r="AP13" s="144">
        <v>46387</v>
      </c>
      <c r="AQ13" s="145" t="s">
        <v>122</v>
      </c>
    </row>
    <row r="14" spans="1:61" ht="159" customHeight="1">
      <c r="A14" s="23">
        <v>4</v>
      </c>
      <c r="B14" s="133" t="s">
        <v>58</v>
      </c>
      <c r="C14" s="134">
        <v>45</v>
      </c>
      <c r="D14" s="133" t="s">
        <v>59</v>
      </c>
      <c r="E14" s="23">
        <v>4599</v>
      </c>
      <c r="F14" s="135" t="s">
        <v>60</v>
      </c>
      <c r="G14" s="23">
        <v>4599002</v>
      </c>
      <c r="H14" s="133" t="s">
        <v>72</v>
      </c>
      <c r="I14" s="23">
        <v>459900201</v>
      </c>
      <c r="J14" s="133" t="s">
        <v>118</v>
      </c>
      <c r="K14" s="115">
        <v>1</v>
      </c>
      <c r="L14" s="115"/>
      <c r="M14" s="115">
        <f t="shared" si="0"/>
        <v>1</v>
      </c>
      <c r="N14" s="23">
        <v>2024003630014</v>
      </c>
      <c r="O14" s="133" t="s">
        <v>119</v>
      </c>
      <c r="P14" s="136" t="s">
        <v>129</v>
      </c>
      <c r="Q14" s="949">
        <f>140000000+350000000</f>
        <v>490000000</v>
      </c>
      <c r="R14" s="138"/>
      <c r="S14" s="139"/>
      <c r="T14" s="139"/>
      <c r="U14" s="140">
        <f t="shared" si="1"/>
        <v>490000000</v>
      </c>
      <c r="V14" s="141" t="s">
        <v>130</v>
      </c>
      <c r="W14" s="147" t="s">
        <v>131</v>
      </c>
      <c r="X14" s="113" t="s">
        <v>132</v>
      </c>
      <c r="Y14" s="142">
        <v>293304</v>
      </c>
      <c r="Z14" s="142">
        <v>272744</v>
      </c>
      <c r="AA14" s="143">
        <v>99059</v>
      </c>
      <c r="AB14" s="143">
        <v>36139</v>
      </c>
      <c r="AC14" s="143">
        <v>314186</v>
      </c>
      <c r="AD14" s="143">
        <v>116664</v>
      </c>
      <c r="AE14" s="143">
        <v>3247</v>
      </c>
      <c r="AF14" s="143">
        <v>2565</v>
      </c>
      <c r="AG14" s="143">
        <v>25</v>
      </c>
      <c r="AH14" s="143">
        <v>7</v>
      </c>
      <c r="AI14" s="142">
        <v>0</v>
      </c>
      <c r="AJ14" s="142">
        <v>0</v>
      </c>
      <c r="AK14" s="143">
        <v>50946</v>
      </c>
      <c r="AL14" s="143">
        <v>28544</v>
      </c>
      <c r="AM14" s="143">
        <v>53914</v>
      </c>
      <c r="AN14" s="142">
        <v>566048</v>
      </c>
      <c r="AO14" s="144">
        <v>46023</v>
      </c>
      <c r="AP14" s="144">
        <v>46387</v>
      </c>
      <c r="AQ14" s="145" t="s">
        <v>122</v>
      </c>
    </row>
    <row r="15" spans="1:61" ht="159" customHeight="1">
      <c r="A15" s="23">
        <v>4</v>
      </c>
      <c r="B15" s="133" t="s">
        <v>58</v>
      </c>
      <c r="C15" s="134">
        <v>45</v>
      </c>
      <c r="D15" s="133" t="s">
        <v>59</v>
      </c>
      <c r="E15" s="23">
        <v>4599</v>
      </c>
      <c r="F15" s="135" t="s">
        <v>60</v>
      </c>
      <c r="G15" s="23">
        <v>4599002</v>
      </c>
      <c r="H15" s="133" t="s">
        <v>72</v>
      </c>
      <c r="I15" s="23">
        <v>459900201</v>
      </c>
      <c r="J15" s="133" t="s">
        <v>118</v>
      </c>
      <c r="K15" s="115">
        <v>1</v>
      </c>
      <c r="L15" s="115"/>
      <c r="M15" s="115">
        <f t="shared" si="0"/>
        <v>1</v>
      </c>
      <c r="N15" s="23">
        <v>2024003630014</v>
      </c>
      <c r="O15" s="133" t="s">
        <v>119</v>
      </c>
      <c r="P15" s="136" t="s">
        <v>133</v>
      </c>
      <c r="Q15" s="949">
        <f>1103898513-50000000</f>
        <v>1053898513</v>
      </c>
      <c r="R15" s="138">
        <f>14800000+17200000+16000000+14800000+17200000+16000000+12000000+10800000+14800000+22000000+14000000+12000000+12000000+14800000+14800000+12000000+60000000+14800000+7000000+16000000+14800000+14800000+14800000+14800000+14800000+16000000+16000000+12000000+16000000+9600000+14800000+16000000+14800000+14800000+14800000+14800000+14800000+14800000+14800000+14800000+14800000</f>
        <v>640600000</v>
      </c>
      <c r="S15" s="139"/>
      <c r="T15" s="139"/>
      <c r="U15" s="140">
        <f t="shared" si="1"/>
        <v>1694498513</v>
      </c>
      <c r="V15" s="141" t="s">
        <v>134</v>
      </c>
      <c r="W15" s="112">
        <v>20</v>
      </c>
      <c r="X15" s="113" t="s">
        <v>67</v>
      </c>
      <c r="Y15" s="142">
        <v>293304</v>
      </c>
      <c r="Z15" s="142">
        <v>272744</v>
      </c>
      <c r="AA15" s="143">
        <v>99059</v>
      </c>
      <c r="AB15" s="143">
        <v>36139</v>
      </c>
      <c r="AC15" s="143">
        <v>314186</v>
      </c>
      <c r="AD15" s="143">
        <v>116664</v>
      </c>
      <c r="AE15" s="143">
        <v>3247</v>
      </c>
      <c r="AF15" s="143">
        <v>2565</v>
      </c>
      <c r="AG15" s="143">
        <v>25</v>
      </c>
      <c r="AH15" s="143">
        <v>7</v>
      </c>
      <c r="AI15" s="142">
        <v>0</v>
      </c>
      <c r="AJ15" s="142">
        <v>0</v>
      </c>
      <c r="AK15" s="143">
        <v>50946</v>
      </c>
      <c r="AL15" s="143">
        <v>28544</v>
      </c>
      <c r="AM15" s="143">
        <v>53914</v>
      </c>
      <c r="AN15" s="142">
        <v>566048</v>
      </c>
      <c r="AO15" s="144">
        <v>46023</v>
      </c>
      <c r="AP15" s="144">
        <v>46387</v>
      </c>
      <c r="AQ15" s="145" t="s">
        <v>122</v>
      </c>
    </row>
    <row r="16" spans="1:61" ht="159" customHeight="1">
      <c r="A16" s="23">
        <v>4</v>
      </c>
      <c r="B16" s="133" t="s">
        <v>58</v>
      </c>
      <c r="C16" s="134">
        <v>45</v>
      </c>
      <c r="D16" s="133" t="s">
        <v>59</v>
      </c>
      <c r="E16" s="23">
        <v>4599</v>
      </c>
      <c r="F16" s="135" t="s">
        <v>60</v>
      </c>
      <c r="G16" s="23">
        <v>4599002</v>
      </c>
      <c r="H16" s="133" t="s">
        <v>72</v>
      </c>
      <c r="I16" s="23">
        <v>459900201</v>
      </c>
      <c r="J16" s="133" t="s">
        <v>118</v>
      </c>
      <c r="K16" s="115">
        <v>1</v>
      </c>
      <c r="L16" s="115"/>
      <c r="M16" s="115">
        <f t="shared" si="0"/>
        <v>1</v>
      </c>
      <c r="N16" s="23">
        <v>2024003630014</v>
      </c>
      <c r="O16" s="133" t="s">
        <v>119</v>
      </c>
      <c r="P16" s="136" t="s">
        <v>135</v>
      </c>
      <c r="Q16" s="948">
        <f>460000000-350000000</f>
        <v>110000000</v>
      </c>
      <c r="R16" s="138">
        <f>8600000+14800000+8600000+8600000+16000000+14800000+14800000+14800000+9000000</f>
        <v>110000000</v>
      </c>
      <c r="S16" s="139"/>
      <c r="T16" s="139"/>
      <c r="U16" s="140">
        <f t="shared" si="1"/>
        <v>220000000</v>
      </c>
      <c r="V16" s="141" t="s">
        <v>136</v>
      </c>
      <c r="W16" s="147" t="s">
        <v>131</v>
      </c>
      <c r="X16" s="113" t="s">
        <v>132</v>
      </c>
      <c r="Y16" s="142">
        <v>293304</v>
      </c>
      <c r="Z16" s="142">
        <v>272744</v>
      </c>
      <c r="AA16" s="143">
        <v>99059</v>
      </c>
      <c r="AB16" s="143">
        <v>36139</v>
      </c>
      <c r="AC16" s="143">
        <v>314186</v>
      </c>
      <c r="AD16" s="143">
        <v>116664</v>
      </c>
      <c r="AE16" s="143">
        <v>3247</v>
      </c>
      <c r="AF16" s="143">
        <v>2565</v>
      </c>
      <c r="AG16" s="143">
        <v>25</v>
      </c>
      <c r="AH16" s="143">
        <v>7</v>
      </c>
      <c r="AI16" s="142">
        <v>0</v>
      </c>
      <c r="AJ16" s="142">
        <v>0</v>
      </c>
      <c r="AK16" s="143">
        <v>50946</v>
      </c>
      <c r="AL16" s="143">
        <v>28544</v>
      </c>
      <c r="AM16" s="143">
        <v>53914</v>
      </c>
      <c r="AN16" s="142">
        <v>566048</v>
      </c>
      <c r="AO16" s="144">
        <v>46023</v>
      </c>
      <c r="AP16" s="144">
        <v>46387</v>
      </c>
      <c r="AQ16" s="145" t="s">
        <v>122</v>
      </c>
    </row>
    <row r="17" spans="1:43" ht="159" customHeight="1">
      <c r="A17" s="23">
        <v>4</v>
      </c>
      <c r="B17" s="133" t="s">
        <v>58</v>
      </c>
      <c r="C17" s="134">
        <v>45</v>
      </c>
      <c r="D17" s="133" t="s">
        <v>59</v>
      </c>
      <c r="E17" s="23">
        <v>4599</v>
      </c>
      <c r="F17" s="135" t="s">
        <v>60</v>
      </c>
      <c r="G17" s="23">
        <v>4599002</v>
      </c>
      <c r="H17" s="133" t="s">
        <v>72</v>
      </c>
      <c r="I17" s="23">
        <v>459900201</v>
      </c>
      <c r="J17" s="133" t="s">
        <v>118</v>
      </c>
      <c r="K17" s="115">
        <v>1</v>
      </c>
      <c r="L17" s="115"/>
      <c r="M17" s="115">
        <f t="shared" si="0"/>
        <v>1</v>
      </c>
      <c r="N17" s="23">
        <v>2024003630014</v>
      </c>
      <c r="O17" s="133" t="s">
        <v>119</v>
      </c>
      <c r="P17" s="148" t="s">
        <v>137</v>
      </c>
      <c r="Q17" s="137">
        <v>25000000</v>
      </c>
      <c r="R17" s="138"/>
      <c r="S17" s="139"/>
      <c r="T17" s="139"/>
      <c r="U17" s="140">
        <f t="shared" si="1"/>
        <v>25000000</v>
      </c>
      <c r="V17" s="149" t="s">
        <v>138</v>
      </c>
      <c r="W17" s="112">
        <v>56</v>
      </c>
      <c r="X17" s="113" t="s">
        <v>139</v>
      </c>
      <c r="Y17" s="142">
        <v>293304</v>
      </c>
      <c r="Z17" s="142">
        <v>272744</v>
      </c>
      <c r="AA17" s="143">
        <v>99059</v>
      </c>
      <c r="AB17" s="143">
        <v>36139</v>
      </c>
      <c r="AC17" s="143">
        <v>314186</v>
      </c>
      <c r="AD17" s="143">
        <v>116664</v>
      </c>
      <c r="AE17" s="143">
        <v>3247</v>
      </c>
      <c r="AF17" s="143">
        <v>2565</v>
      </c>
      <c r="AG17" s="143">
        <v>25</v>
      </c>
      <c r="AH17" s="143">
        <v>7</v>
      </c>
      <c r="AI17" s="142">
        <v>0</v>
      </c>
      <c r="AJ17" s="142">
        <v>0</v>
      </c>
      <c r="AK17" s="143">
        <v>50946</v>
      </c>
      <c r="AL17" s="143">
        <v>28544</v>
      </c>
      <c r="AM17" s="143">
        <v>53914</v>
      </c>
      <c r="AN17" s="142">
        <v>566048</v>
      </c>
      <c r="AO17" s="144">
        <v>46023</v>
      </c>
      <c r="AP17" s="144">
        <v>46387</v>
      </c>
      <c r="AQ17" s="145" t="s">
        <v>122</v>
      </c>
    </row>
    <row r="18" spans="1:43" ht="159" customHeight="1">
      <c r="A18" s="23">
        <v>4</v>
      </c>
      <c r="B18" s="133" t="s">
        <v>58</v>
      </c>
      <c r="C18" s="134">
        <v>45</v>
      </c>
      <c r="D18" s="133" t="s">
        <v>59</v>
      </c>
      <c r="E18" s="23">
        <v>4599</v>
      </c>
      <c r="F18" s="135" t="s">
        <v>60</v>
      </c>
      <c r="G18" s="23">
        <v>4599002</v>
      </c>
      <c r="H18" s="133" t="s">
        <v>72</v>
      </c>
      <c r="I18" s="23">
        <v>459900201</v>
      </c>
      <c r="J18" s="133" t="s">
        <v>118</v>
      </c>
      <c r="K18" s="115">
        <v>1</v>
      </c>
      <c r="L18" s="115"/>
      <c r="M18" s="115">
        <f t="shared" si="0"/>
        <v>1</v>
      </c>
      <c r="N18" s="23">
        <v>2024003630014</v>
      </c>
      <c r="O18" s="133" t="s">
        <v>119</v>
      </c>
      <c r="P18" s="148" t="s">
        <v>140</v>
      </c>
      <c r="Q18" s="137">
        <v>30000000</v>
      </c>
      <c r="R18" s="138"/>
      <c r="S18" s="139"/>
      <c r="T18" s="139"/>
      <c r="U18" s="140">
        <f t="shared" si="1"/>
        <v>30000000</v>
      </c>
      <c r="V18" s="141" t="s">
        <v>141</v>
      </c>
      <c r="W18" s="112">
        <v>56</v>
      </c>
      <c r="X18" s="113" t="s">
        <v>139</v>
      </c>
      <c r="Y18" s="142">
        <v>293304</v>
      </c>
      <c r="Z18" s="142">
        <v>272744</v>
      </c>
      <c r="AA18" s="143">
        <v>99059</v>
      </c>
      <c r="AB18" s="143">
        <v>36139</v>
      </c>
      <c r="AC18" s="143">
        <v>314186</v>
      </c>
      <c r="AD18" s="143">
        <v>116664</v>
      </c>
      <c r="AE18" s="143">
        <v>3247</v>
      </c>
      <c r="AF18" s="143">
        <v>2565</v>
      </c>
      <c r="AG18" s="143">
        <v>25</v>
      </c>
      <c r="AH18" s="143">
        <v>7</v>
      </c>
      <c r="AI18" s="142">
        <v>0</v>
      </c>
      <c r="AJ18" s="142">
        <v>0</v>
      </c>
      <c r="AK18" s="143">
        <v>50946</v>
      </c>
      <c r="AL18" s="143">
        <v>28544</v>
      </c>
      <c r="AM18" s="143">
        <v>53914</v>
      </c>
      <c r="AN18" s="142">
        <v>566048</v>
      </c>
      <c r="AO18" s="144">
        <v>46023</v>
      </c>
      <c r="AP18" s="144">
        <v>46387</v>
      </c>
      <c r="AQ18" s="145" t="s">
        <v>122</v>
      </c>
    </row>
    <row r="19" spans="1:43" ht="159" customHeight="1">
      <c r="A19" s="23">
        <v>4</v>
      </c>
      <c r="B19" s="133" t="s">
        <v>58</v>
      </c>
      <c r="C19" s="134">
        <v>45</v>
      </c>
      <c r="D19" s="133" t="s">
        <v>59</v>
      </c>
      <c r="E19" s="23">
        <v>4599</v>
      </c>
      <c r="F19" s="135" t="s">
        <v>60</v>
      </c>
      <c r="G19" s="23">
        <v>4599002</v>
      </c>
      <c r="H19" s="133" t="s">
        <v>72</v>
      </c>
      <c r="I19" s="23">
        <v>459900201</v>
      </c>
      <c r="J19" s="133" t="s">
        <v>118</v>
      </c>
      <c r="K19" s="115">
        <v>1</v>
      </c>
      <c r="L19" s="115"/>
      <c r="M19" s="115">
        <f t="shared" si="0"/>
        <v>1</v>
      </c>
      <c r="N19" s="23">
        <v>2024003630014</v>
      </c>
      <c r="O19" s="133" t="s">
        <v>119</v>
      </c>
      <c r="P19" s="148" t="s">
        <v>142</v>
      </c>
      <c r="Q19" s="137">
        <v>13000000</v>
      </c>
      <c r="R19" s="138"/>
      <c r="S19" s="139"/>
      <c r="T19" s="139"/>
      <c r="U19" s="140">
        <f t="shared" si="1"/>
        <v>13000000</v>
      </c>
      <c r="V19" s="141" t="s">
        <v>143</v>
      </c>
      <c r="W19" s="112">
        <v>56</v>
      </c>
      <c r="X19" s="113" t="s">
        <v>139</v>
      </c>
      <c r="Y19" s="142">
        <v>293304</v>
      </c>
      <c r="Z19" s="142">
        <v>272744</v>
      </c>
      <c r="AA19" s="143">
        <v>99059</v>
      </c>
      <c r="AB19" s="143">
        <v>36139</v>
      </c>
      <c r="AC19" s="143">
        <v>314186</v>
      </c>
      <c r="AD19" s="143">
        <v>116664</v>
      </c>
      <c r="AE19" s="143">
        <v>3247</v>
      </c>
      <c r="AF19" s="143">
        <v>2565</v>
      </c>
      <c r="AG19" s="143">
        <v>25</v>
      </c>
      <c r="AH19" s="143">
        <v>7</v>
      </c>
      <c r="AI19" s="142">
        <v>0</v>
      </c>
      <c r="AJ19" s="142">
        <v>0</v>
      </c>
      <c r="AK19" s="143">
        <v>50946</v>
      </c>
      <c r="AL19" s="143">
        <v>28544</v>
      </c>
      <c r="AM19" s="143">
        <v>53914</v>
      </c>
      <c r="AN19" s="142">
        <v>566048</v>
      </c>
      <c r="AO19" s="144">
        <v>46023</v>
      </c>
      <c r="AP19" s="144">
        <v>46387</v>
      </c>
      <c r="AQ19" s="145" t="s">
        <v>122</v>
      </c>
    </row>
    <row r="20" spans="1:43" ht="159" customHeight="1">
      <c r="A20" s="23">
        <v>4</v>
      </c>
      <c r="B20" s="133" t="s">
        <v>58</v>
      </c>
      <c r="C20" s="134">
        <v>45</v>
      </c>
      <c r="D20" s="133" t="s">
        <v>59</v>
      </c>
      <c r="E20" s="23">
        <v>4599</v>
      </c>
      <c r="F20" s="135" t="s">
        <v>60</v>
      </c>
      <c r="G20" s="23">
        <v>4599002</v>
      </c>
      <c r="H20" s="133" t="s">
        <v>72</v>
      </c>
      <c r="I20" s="23">
        <v>459900201</v>
      </c>
      <c r="J20" s="133" t="s">
        <v>118</v>
      </c>
      <c r="K20" s="115">
        <v>1</v>
      </c>
      <c r="L20" s="115"/>
      <c r="M20" s="115">
        <f t="shared" si="0"/>
        <v>1</v>
      </c>
      <c r="N20" s="23">
        <v>2024003630014</v>
      </c>
      <c r="O20" s="133" t="s">
        <v>119</v>
      </c>
      <c r="P20" s="148" t="s">
        <v>144</v>
      </c>
      <c r="Q20" s="146">
        <v>8000000</v>
      </c>
      <c r="R20" s="138"/>
      <c r="S20" s="139"/>
      <c r="T20" s="139"/>
      <c r="U20" s="140">
        <f t="shared" si="1"/>
        <v>8000000</v>
      </c>
      <c r="V20" s="141" t="s">
        <v>145</v>
      </c>
      <c r="W20" s="112">
        <v>56</v>
      </c>
      <c r="X20" s="113" t="s">
        <v>139</v>
      </c>
      <c r="Y20" s="142">
        <v>293304</v>
      </c>
      <c r="Z20" s="142">
        <v>272744</v>
      </c>
      <c r="AA20" s="143">
        <v>99059</v>
      </c>
      <c r="AB20" s="143">
        <v>36139</v>
      </c>
      <c r="AC20" s="143">
        <v>314186</v>
      </c>
      <c r="AD20" s="143">
        <v>116664</v>
      </c>
      <c r="AE20" s="143">
        <v>3247</v>
      </c>
      <c r="AF20" s="143">
        <v>2565</v>
      </c>
      <c r="AG20" s="143">
        <v>25</v>
      </c>
      <c r="AH20" s="143">
        <v>7</v>
      </c>
      <c r="AI20" s="142">
        <v>0</v>
      </c>
      <c r="AJ20" s="142">
        <v>0</v>
      </c>
      <c r="AK20" s="143">
        <v>50946</v>
      </c>
      <c r="AL20" s="143">
        <v>28544</v>
      </c>
      <c r="AM20" s="143">
        <v>53914</v>
      </c>
      <c r="AN20" s="142">
        <v>566048</v>
      </c>
      <c r="AO20" s="144">
        <v>46023</v>
      </c>
      <c r="AP20" s="144">
        <v>46387</v>
      </c>
      <c r="AQ20" s="145" t="s">
        <v>122</v>
      </c>
    </row>
    <row r="21" spans="1:43" ht="159" customHeight="1">
      <c r="A21" s="23">
        <v>4</v>
      </c>
      <c r="B21" s="133" t="s">
        <v>58</v>
      </c>
      <c r="C21" s="134">
        <v>45</v>
      </c>
      <c r="D21" s="133" t="s">
        <v>59</v>
      </c>
      <c r="E21" s="23">
        <v>4599</v>
      </c>
      <c r="F21" s="135" t="s">
        <v>60</v>
      </c>
      <c r="G21" s="23">
        <v>4599002</v>
      </c>
      <c r="H21" s="133" t="s">
        <v>72</v>
      </c>
      <c r="I21" s="23">
        <v>459900201</v>
      </c>
      <c r="J21" s="133" t="s">
        <v>118</v>
      </c>
      <c r="K21" s="115">
        <v>1</v>
      </c>
      <c r="L21" s="115"/>
      <c r="M21" s="115">
        <f t="shared" si="0"/>
        <v>1</v>
      </c>
      <c r="N21" s="23">
        <v>2024003630014</v>
      </c>
      <c r="O21" s="133" t="s">
        <v>119</v>
      </c>
      <c r="P21" s="148" t="s">
        <v>146</v>
      </c>
      <c r="Q21" s="137">
        <v>471278644</v>
      </c>
      <c r="R21" s="138"/>
      <c r="S21" s="139"/>
      <c r="T21" s="139"/>
      <c r="U21" s="140">
        <f t="shared" si="1"/>
        <v>471278644</v>
      </c>
      <c r="V21" s="141" t="s">
        <v>147</v>
      </c>
      <c r="W21" s="112">
        <v>56</v>
      </c>
      <c r="X21" s="113" t="s">
        <v>139</v>
      </c>
      <c r="Y21" s="142">
        <v>293304</v>
      </c>
      <c r="Z21" s="142">
        <v>272744</v>
      </c>
      <c r="AA21" s="143">
        <v>99059</v>
      </c>
      <c r="AB21" s="143">
        <v>36139</v>
      </c>
      <c r="AC21" s="143">
        <v>314186</v>
      </c>
      <c r="AD21" s="143">
        <v>116664</v>
      </c>
      <c r="AE21" s="143">
        <v>3247</v>
      </c>
      <c r="AF21" s="143">
        <v>2565</v>
      </c>
      <c r="AG21" s="143">
        <v>25</v>
      </c>
      <c r="AH21" s="143">
        <v>7</v>
      </c>
      <c r="AI21" s="142">
        <v>0</v>
      </c>
      <c r="AJ21" s="142">
        <v>0</v>
      </c>
      <c r="AK21" s="143">
        <v>50946</v>
      </c>
      <c r="AL21" s="143">
        <v>28544</v>
      </c>
      <c r="AM21" s="143">
        <v>53914</v>
      </c>
      <c r="AN21" s="142">
        <v>566048</v>
      </c>
      <c r="AO21" s="144">
        <v>46023</v>
      </c>
      <c r="AP21" s="144">
        <v>46387</v>
      </c>
      <c r="AQ21" s="145" t="s">
        <v>122</v>
      </c>
    </row>
    <row r="22" spans="1:43" ht="159" customHeight="1">
      <c r="A22" s="23">
        <v>4</v>
      </c>
      <c r="B22" s="133" t="s">
        <v>58</v>
      </c>
      <c r="C22" s="134">
        <v>45</v>
      </c>
      <c r="D22" s="133" t="s">
        <v>59</v>
      </c>
      <c r="E22" s="23">
        <v>4599</v>
      </c>
      <c r="F22" s="135" t="s">
        <v>60</v>
      </c>
      <c r="G22" s="23">
        <v>4599002</v>
      </c>
      <c r="H22" s="133" t="s">
        <v>72</v>
      </c>
      <c r="I22" s="23">
        <v>459900201</v>
      </c>
      <c r="J22" s="133" t="s">
        <v>118</v>
      </c>
      <c r="K22" s="115">
        <v>1</v>
      </c>
      <c r="L22" s="115"/>
      <c r="M22" s="115">
        <f t="shared" si="0"/>
        <v>1</v>
      </c>
      <c r="N22" s="23">
        <v>2024003630014</v>
      </c>
      <c r="O22" s="133" t="s">
        <v>119</v>
      </c>
      <c r="P22" s="148" t="s">
        <v>148</v>
      </c>
      <c r="Q22" s="137">
        <v>25000000</v>
      </c>
      <c r="R22" s="138"/>
      <c r="S22" s="139"/>
      <c r="T22" s="139"/>
      <c r="U22" s="140">
        <f t="shared" si="1"/>
        <v>25000000</v>
      </c>
      <c r="V22" s="150" t="s">
        <v>149</v>
      </c>
      <c r="W22" s="112">
        <v>56</v>
      </c>
      <c r="X22" s="113" t="s">
        <v>139</v>
      </c>
      <c r="Y22" s="142">
        <v>293304</v>
      </c>
      <c r="Z22" s="142">
        <v>272744</v>
      </c>
      <c r="AA22" s="143">
        <v>99059</v>
      </c>
      <c r="AB22" s="143">
        <v>36139</v>
      </c>
      <c r="AC22" s="143">
        <v>314186</v>
      </c>
      <c r="AD22" s="143">
        <v>116664</v>
      </c>
      <c r="AE22" s="143">
        <v>3247</v>
      </c>
      <c r="AF22" s="143">
        <v>2565</v>
      </c>
      <c r="AG22" s="143">
        <v>25</v>
      </c>
      <c r="AH22" s="143">
        <v>7</v>
      </c>
      <c r="AI22" s="142">
        <v>0</v>
      </c>
      <c r="AJ22" s="142">
        <v>0</v>
      </c>
      <c r="AK22" s="143">
        <v>50946</v>
      </c>
      <c r="AL22" s="143">
        <v>28544</v>
      </c>
      <c r="AM22" s="143">
        <v>53914</v>
      </c>
      <c r="AN22" s="142">
        <v>566048</v>
      </c>
      <c r="AO22" s="144">
        <v>46023</v>
      </c>
      <c r="AP22" s="144">
        <v>46387</v>
      </c>
      <c r="AQ22" s="145" t="s">
        <v>122</v>
      </c>
    </row>
    <row r="23" spans="1:43" ht="159" customHeight="1">
      <c r="A23" s="23">
        <v>4</v>
      </c>
      <c r="B23" s="133" t="s">
        <v>58</v>
      </c>
      <c r="C23" s="134">
        <v>45</v>
      </c>
      <c r="D23" s="133" t="s">
        <v>59</v>
      </c>
      <c r="E23" s="23">
        <v>4599</v>
      </c>
      <c r="F23" s="135" t="s">
        <v>60</v>
      </c>
      <c r="G23" s="23">
        <v>4599002</v>
      </c>
      <c r="H23" s="133" t="s">
        <v>72</v>
      </c>
      <c r="I23" s="23">
        <v>459900201</v>
      </c>
      <c r="J23" s="133" t="s">
        <v>118</v>
      </c>
      <c r="K23" s="115">
        <v>1</v>
      </c>
      <c r="L23" s="115"/>
      <c r="M23" s="115">
        <f t="shared" si="0"/>
        <v>1</v>
      </c>
      <c r="N23" s="23">
        <v>2024003630014</v>
      </c>
      <c r="O23" s="133" t="s">
        <v>119</v>
      </c>
      <c r="P23" s="148" t="s">
        <v>150</v>
      </c>
      <c r="Q23" s="137">
        <v>25000000</v>
      </c>
      <c r="R23" s="138"/>
      <c r="S23" s="139"/>
      <c r="T23" s="139"/>
      <c r="U23" s="140">
        <f t="shared" si="1"/>
        <v>25000000</v>
      </c>
      <c r="V23" s="150" t="s">
        <v>151</v>
      </c>
      <c r="W23" s="112">
        <v>56</v>
      </c>
      <c r="X23" s="113" t="s">
        <v>139</v>
      </c>
      <c r="Y23" s="142">
        <v>293304</v>
      </c>
      <c r="Z23" s="142">
        <v>272744</v>
      </c>
      <c r="AA23" s="143">
        <v>99059</v>
      </c>
      <c r="AB23" s="143">
        <v>36139</v>
      </c>
      <c r="AC23" s="143">
        <v>314186</v>
      </c>
      <c r="AD23" s="143">
        <v>116664</v>
      </c>
      <c r="AE23" s="143">
        <v>3247</v>
      </c>
      <c r="AF23" s="143">
        <v>2565</v>
      </c>
      <c r="AG23" s="143">
        <v>25</v>
      </c>
      <c r="AH23" s="143">
        <v>7</v>
      </c>
      <c r="AI23" s="142">
        <v>0</v>
      </c>
      <c r="AJ23" s="142">
        <v>0</v>
      </c>
      <c r="AK23" s="143">
        <v>50946</v>
      </c>
      <c r="AL23" s="143">
        <v>28544</v>
      </c>
      <c r="AM23" s="143">
        <v>53914</v>
      </c>
      <c r="AN23" s="142">
        <v>566048</v>
      </c>
      <c r="AO23" s="144">
        <v>46023</v>
      </c>
      <c r="AP23" s="144">
        <v>46387</v>
      </c>
      <c r="AQ23" s="145" t="s">
        <v>122</v>
      </c>
    </row>
    <row r="24" spans="1:43" ht="159" customHeight="1">
      <c r="A24" s="23">
        <v>4</v>
      </c>
      <c r="B24" s="133" t="s">
        <v>58</v>
      </c>
      <c r="C24" s="134">
        <v>45</v>
      </c>
      <c r="D24" s="133" t="s">
        <v>59</v>
      </c>
      <c r="E24" s="23">
        <v>4599</v>
      </c>
      <c r="F24" s="135" t="s">
        <v>60</v>
      </c>
      <c r="G24" s="23">
        <v>4599002</v>
      </c>
      <c r="H24" s="133" t="s">
        <v>72</v>
      </c>
      <c r="I24" s="23">
        <v>459900201</v>
      </c>
      <c r="J24" s="133" t="s">
        <v>118</v>
      </c>
      <c r="K24" s="115">
        <v>1</v>
      </c>
      <c r="L24" s="115"/>
      <c r="M24" s="115">
        <f t="shared" si="0"/>
        <v>1</v>
      </c>
      <c r="N24" s="23">
        <v>2024003630014</v>
      </c>
      <c r="O24" s="133" t="s">
        <v>119</v>
      </c>
      <c r="P24" s="148" t="s">
        <v>152</v>
      </c>
      <c r="Q24" s="137">
        <v>25000000</v>
      </c>
      <c r="R24" s="138"/>
      <c r="S24" s="139"/>
      <c r="T24" s="139"/>
      <c r="U24" s="140">
        <f t="shared" si="1"/>
        <v>25000000</v>
      </c>
      <c r="V24" s="141" t="s">
        <v>153</v>
      </c>
      <c r="W24" s="112">
        <v>20</v>
      </c>
      <c r="X24" s="113" t="s">
        <v>67</v>
      </c>
      <c r="Y24" s="142">
        <v>293304</v>
      </c>
      <c r="Z24" s="142">
        <v>272744</v>
      </c>
      <c r="AA24" s="143">
        <v>99059</v>
      </c>
      <c r="AB24" s="143">
        <v>36139</v>
      </c>
      <c r="AC24" s="143">
        <v>314186</v>
      </c>
      <c r="AD24" s="143">
        <v>116664</v>
      </c>
      <c r="AE24" s="143">
        <v>3247</v>
      </c>
      <c r="AF24" s="143">
        <v>2565</v>
      </c>
      <c r="AG24" s="143">
        <v>25</v>
      </c>
      <c r="AH24" s="143">
        <v>7</v>
      </c>
      <c r="AI24" s="142">
        <v>0</v>
      </c>
      <c r="AJ24" s="142">
        <v>0</v>
      </c>
      <c r="AK24" s="143">
        <v>50946</v>
      </c>
      <c r="AL24" s="143">
        <v>28544</v>
      </c>
      <c r="AM24" s="143">
        <v>53914</v>
      </c>
      <c r="AN24" s="142">
        <v>566048</v>
      </c>
      <c r="AO24" s="144">
        <v>46023</v>
      </c>
      <c r="AP24" s="144">
        <v>46387</v>
      </c>
      <c r="AQ24" s="145" t="s">
        <v>122</v>
      </c>
    </row>
    <row r="25" spans="1:43" ht="159" customHeight="1">
      <c r="A25" s="23">
        <v>4</v>
      </c>
      <c r="B25" s="133" t="s">
        <v>58</v>
      </c>
      <c r="C25" s="134">
        <v>45</v>
      </c>
      <c r="D25" s="133" t="s">
        <v>59</v>
      </c>
      <c r="E25" s="23">
        <v>4599</v>
      </c>
      <c r="F25" s="135" t="s">
        <v>60</v>
      </c>
      <c r="G25" s="23">
        <v>4599002</v>
      </c>
      <c r="H25" s="133" t="s">
        <v>72</v>
      </c>
      <c r="I25" s="23">
        <v>459900201</v>
      </c>
      <c r="J25" s="133" t="s">
        <v>118</v>
      </c>
      <c r="K25" s="115">
        <v>1</v>
      </c>
      <c r="L25" s="115"/>
      <c r="M25" s="115">
        <f t="shared" si="0"/>
        <v>1</v>
      </c>
      <c r="N25" s="23">
        <v>2024003630014</v>
      </c>
      <c r="O25" s="133" t="s">
        <v>119</v>
      </c>
      <c r="P25" s="151" t="s">
        <v>154</v>
      </c>
      <c r="Q25" s="137">
        <v>19600000</v>
      </c>
      <c r="R25" s="138"/>
      <c r="S25" s="139"/>
      <c r="T25" s="139"/>
      <c r="U25" s="140">
        <f t="shared" si="1"/>
        <v>19600000</v>
      </c>
      <c r="V25" s="141" t="s">
        <v>121</v>
      </c>
      <c r="W25" s="112">
        <v>20</v>
      </c>
      <c r="X25" s="113" t="s">
        <v>67</v>
      </c>
      <c r="Y25" s="142">
        <v>293304</v>
      </c>
      <c r="Z25" s="142">
        <v>272744</v>
      </c>
      <c r="AA25" s="143">
        <v>99059</v>
      </c>
      <c r="AB25" s="143">
        <v>36139</v>
      </c>
      <c r="AC25" s="143">
        <v>314186</v>
      </c>
      <c r="AD25" s="143">
        <v>116664</v>
      </c>
      <c r="AE25" s="143">
        <v>3247</v>
      </c>
      <c r="AF25" s="143">
        <v>2565</v>
      </c>
      <c r="AG25" s="143">
        <v>25</v>
      </c>
      <c r="AH25" s="143">
        <v>7</v>
      </c>
      <c r="AI25" s="142">
        <v>0</v>
      </c>
      <c r="AJ25" s="142">
        <v>0</v>
      </c>
      <c r="AK25" s="143">
        <v>50946</v>
      </c>
      <c r="AL25" s="143">
        <v>28544</v>
      </c>
      <c r="AM25" s="143">
        <v>53914</v>
      </c>
      <c r="AN25" s="142">
        <v>566048</v>
      </c>
      <c r="AO25" s="144">
        <v>46023</v>
      </c>
      <c r="AP25" s="144">
        <v>46387</v>
      </c>
      <c r="AQ25" s="145" t="s">
        <v>122</v>
      </c>
    </row>
    <row r="26" spans="1:43" ht="159" customHeight="1">
      <c r="A26" s="23">
        <v>4</v>
      </c>
      <c r="B26" s="133" t="s">
        <v>58</v>
      </c>
      <c r="C26" s="134">
        <v>45</v>
      </c>
      <c r="D26" s="133" t="s">
        <v>59</v>
      </c>
      <c r="E26" s="23">
        <v>4599</v>
      </c>
      <c r="F26" s="135" t="s">
        <v>60</v>
      </c>
      <c r="G26" s="23">
        <v>4599002</v>
      </c>
      <c r="H26" s="133" t="s">
        <v>72</v>
      </c>
      <c r="I26" s="23">
        <v>459900201</v>
      </c>
      <c r="J26" s="133" t="s">
        <v>118</v>
      </c>
      <c r="K26" s="115">
        <v>1</v>
      </c>
      <c r="L26" s="115"/>
      <c r="M26" s="115">
        <f t="shared" si="0"/>
        <v>1</v>
      </c>
      <c r="N26" s="23">
        <v>2024003630014</v>
      </c>
      <c r="O26" s="133" t="s">
        <v>119</v>
      </c>
      <c r="P26" s="151" t="s">
        <v>155</v>
      </c>
      <c r="Q26" s="146">
        <v>37000000</v>
      </c>
      <c r="R26" s="138"/>
      <c r="S26" s="139"/>
      <c r="T26" s="139"/>
      <c r="U26" s="140">
        <f t="shared" si="1"/>
        <v>37000000</v>
      </c>
      <c r="V26" s="141" t="s">
        <v>126</v>
      </c>
      <c r="W26" s="112">
        <v>20</v>
      </c>
      <c r="X26" s="113" t="s">
        <v>67</v>
      </c>
      <c r="Y26" s="142">
        <v>293304</v>
      </c>
      <c r="Z26" s="142">
        <v>272744</v>
      </c>
      <c r="AA26" s="143">
        <v>99059</v>
      </c>
      <c r="AB26" s="143">
        <v>36139</v>
      </c>
      <c r="AC26" s="143">
        <v>314186</v>
      </c>
      <c r="AD26" s="143">
        <v>116664</v>
      </c>
      <c r="AE26" s="143">
        <v>3247</v>
      </c>
      <c r="AF26" s="143">
        <v>2565</v>
      </c>
      <c r="AG26" s="143">
        <v>25</v>
      </c>
      <c r="AH26" s="143">
        <v>7</v>
      </c>
      <c r="AI26" s="142">
        <v>0</v>
      </c>
      <c r="AJ26" s="142">
        <v>0</v>
      </c>
      <c r="AK26" s="143">
        <v>50946</v>
      </c>
      <c r="AL26" s="143">
        <v>28544</v>
      </c>
      <c r="AM26" s="143">
        <v>53914</v>
      </c>
      <c r="AN26" s="142">
        <v>566048</v>
      </c>
      <c r="AO26" s="144">
        <v>46023</v>
      </c>
      <c r="AP26" s="144">
        <v>46387</v>
      </c>
      <c r="AQ26" s="145" t="s">
        <v>122</v>
      </c>
    </row>
    <row r="27" spans="1:43" ht="159" customHeight="1">
      <c r="A27" s="23">
        <v>4</v>
      </c>
      <c r="B27" s="133" t="s">
        <v>58</v>
      </c>
      <c r="C27" s="134">
        <v>45</v>
      </c>
      <c r="D27" s="133" t="s">
        <v>59</v>
      </c>
      <c r="E27" s="23">
        <v>4599</v>
      </c>
      <c r="F27" s="135" t="s">
        <v>60</v>
      </c>
      <c r="G27" s="23">
        <v>4599002</v>
      </c>
      <c r="H27" s="133" t="s">
        <v>72</v>
      </c>
      <c r="I27" s="23">
        <v>459900201</v>
      </c>
      <c r="J27" s="133" t="s">
        <v>118</v>
      </c>
      <c r="K27" s="115">
        <v>1</v>
      </c>
      <c r="L27" s="115"/>
      <c r="M27" s="115">
        <f t="shared" si="0"/>
        <v>1</v>
      </c>
      <c r="N27" s="23">
        <v>2024003630014</v>
      </c>
      <c r="O27" s="133" t="s">
        <v>119</v>
      </c>
      <c r="P27" s="151" t="s">
        <v>156</v>
      </c>
      <c r="Q27" s="146">
        <v>1170176487</v>
      </c>
      <c r="R27" s="138">
        <f>1200000+14800000+14800000+10800000+10600000+22000000+16000000+16000000+16000000+14800000+14800000+14800000+16000000+14800000+14000000+16000000+12000000</f>
        <v>239400000</v>
      </c>
      <c r="S27" s="139">
        <f>16000000+2000000</f>
        <v>18000000</v>
      </c>
      <c r="T27" s="139"/>
      <c r="U27" s="140">
        <f t="shared" si="1"/>
        <v>1427576487</v>
      </c>
      <c r="V27" s="141" t="s">
        <v>134</v>
      </c>
      <c r="W27" s="112">
        <v>20</v>
      </c>
      <c r="X27" s="113" t="s">
        <v>67</v>
      </c>
      <c r="Y27" s="142">
        <v>293304</v>
      </c>
      <c r="Z27" s="142">
        <v>272744</v>
      </c>
      <c r="AA27" s="143">
        <v>99059</v>
      </c>
      <c r="AB27" s="143">
        <v>36139</v>
      </c>
      <c r="AC27" s="143">
        <v>314186</v>
      </c>
      <c r="AD27" s="143">
        <v>116664</v>
      </c>
      <c r="AE27" s="143">
        <v>3247</v>
      </c>
      <c r="AF27" s="143">
        <v>2565</v>
      </c>
      <c r="AG27" s="143">
        <v>25</v>
      </c>
      <c r="AH27" s="143">
        <v>7</v>
      </c>
      <c r="AI27" s="142">
        <v>0</v>
      </c>
      <c r="AJ27" s="142">
        <v>0</v>
      </c>
      <c r="AK27" s="143">
        <v>50946</v>
      </c>
      <c r="AL27" s="143">
        <v>28544</v>
      </c>
      <c r="AM27" s="143">
        <v>53914</v>
      </c>
      <c r="AN27" s="142">
        <v>566048</v>
      </c>
      <c r="AO27" s="144">
        <v>46023</v>
      </c>
      <c r="AP27" s="144">
        <v>46387</v>
      </c>
      <c r="AQ27" s="145" t="s">
        <v>122</v>
      </c>
    </row>
    <row r="28" spans="1:43" ht="159" customHeight="1">
      <c r="A28" s="23">
        <v>4</v>
      </c>
      <c r="B28" s="133" t="s">
        <v>58</v>
      </c>
      <c r="C28" s="134">
        <v>45</v>
      </c>
      <c r="D28" s="133" t="s">
        <v>59</v>
      </c>
      <c r="E28" s="23">
        <v>4599</v>
      </c>
      <c r="F28" s="135" t="s">
        <v>60</v>
      </c>
      <c r="G28" s="23">
        <v>4599002</v>
      </c>
      <c r="H28" s="133" t="s">
        <v>72</v>
      </c>
      <c r="I28" s="23">
        <v>459900201</v>
      </c>
      <c r="J28" s="133" t="s">
        <v>118</v>
      </c>
      <c r="K28" s="115">
        <v>1</v>
      </c>
      <c r="L28" s="115"/>
      <c r="M28" s="115">
        <f t="shared" si="0"/>
        <v>1</v>
      </c>
      <c r="N28" s="23">
        <v>2024003630014</v>
      </c>
      <c r="O28" s="133" t="s">
        <v>119</v>
      </c>
      <c r="P28" s="151" t="s">
        <v>157</v>
      </c>
      <c r="Q28" s="137">
        <v>400000000</v>
      </c>
      <c r="R28" s="138">
        <f>14800000+17200000+14800000+14800000+12000000+10800000+14800000+17200000+16000000+16000000+10800000+16000000+14800000+16000000+10800000+14800000+8600000+8600000+8600000+17200000+14800000+10800000+12000000+12000000+14800000+14800000+1600000+12000000+18000000+14800000+10800000+12000000</f>
        <v>423000000</v>
      </c>
      <c r="S28" s="139">
        <v>14800000</v>
      </c>
      <c r="T28" s="140"/>
      <c r="V28" s="141" t="s">
        <v>136</v>
      </c>
      <c r="W28" s="147" t="s">
        <v>131</v>
      </c>
      <c r="X28" s="113" t="s">
        <v>132</v>
      </c>
      <c r="Y28" s="142">
        <v>293304</v>
      </c>
      <c r="Z28" s="142">
        <v>272744</v>
      </c>
      <c r="AA28" s="143">
        <v>99059</v>
      </c>
      <c r="AB28" s="143">
        <v>36139</v>
      </c>
      <c r="AC28" s="143">
        <v>314186</v>
      </c>
      <c r="AD28" s="143">
        <v>116664</v>
      </c>
      <c r="AE28" s="143">
        <v>3247</v>
      </c>
      <c r="AF28" s="143">
        <v>2565</v>
      </c>
      <c r="AG28" s="143">
        <v>25</v>
      </c>
      <c r="AH28" s="143">
        <v>7</v>
      </c>
      <c r="AI28" s="142">
        <v>0</v>
      </c>
      <c r="AJ28" s="142">
        <v>0</v>
      </c>
      <c r="AK28" s="143">
        <v>50946</v>
      </c>
      <c r="AL28" s="143">
        <v>28544</v>
      </c>
      <c r="AM28" s="143">
        <v>53914</v>
      </c>
      <c r="AN28" s="142">
        <v>566048</v>
      </c>
      <c r="AO28" s="144">
        <v>46023</v>
      </c>
      <c r="AP28" s="144">
        <v>46387</v>
      </c>
      <c r="AQ28" s="145" t="s">
        <v>122</v>
      </c>
    </row>
    <row r="29" spans="1:43" ht="159" customHeight="1">
      <c r="A29" s="23">
        <v>4</v>
      </c>
      <c r="B29" s="133" t="s">
        <v>58</v>
      </c>
      <c r="C29" s="134">
        <v>45</v>
      </c>
      <c r="D29" s="133" t="s">
        <v>59</v>
      </c>
      <c r="E29" s="23">
        <v>4599</v>
      </c>
      <c r="F29" s="135" t="s">
        <v>60</v>
      </c>
      <c r="G29" s="23">
        <v>4599002</v>
      </c>
      <c r="H29" s="133" t="s">
        <v>72</v>
      </c>
      <c r="I29" s="23">
        <v>459900201</v>
      </c>
      <c r="J29" s="133" t="s">
        <v>118</v>
      </c>
      <c r="K29" s="115">
        <v>1</v>
      </c>
      <c r="L29" s="115"/>
      <c r="M29" s="115">
        <f t="shared" si="0"/>
        <v>1</v>
      </c>
      <c r="N29" s="23">
        <v>2024003630014</v>
      </c>
      <c r="O29" s="133" t="s">
        <v>119</v>
      </c>
      <c r="P29" s="148" t="s">
        <v>158</v>
      </c>
      <c r="Q29" s="137">
        <v>38000000</v>
      </c>
      <c r="R29" s="138"/>
      <c r="S29" s="139"/>
      <c r="T29" s="139"/>
      <c r="U29" s="140">
        <f t="shared" si="1"/>
        <v>38000000</v>
      </c>
      <c r="V29" s="141" t="s">
        <v>128</v>
      </c>
      <c r="W29" s="112">
        <v>20</v>
      </c>
      <c r="X29" s="113" t="s">
        <v>67</v>
      </c>
      <c r="Y29" s="142">
        <v>293304</v>
      </c>
      <c r="Z29" s="142">
        <v>272744</v>
      </c>
      <c r="AA29" s="143">
        <v>99059</v>
      </c>
      <c r="AB29" s="143">
        <v>36139</v>
      </c>
      <c r="AC29" s="143">
        <v>314186</v>
      </c>
      <c r="AD29" s="143">
        <v>116664</v>
      </c>
      <c r="AE29" s="143">
        <v>3247</v>
      </c>
      <c r="AF29" s="143">
        <v>2565</v>
      </c>
      <c r="AG29" s="143">
        <v>25</v>
      </c>
      <c r="AH29" s="143">
        <v>7</v>
      </c>
      <c r="AI29" s="142">
        <v>0</v>
      </c>
      <c r="AJ29" s="142">
        <v>0</v>
      </c>
      <c r="AK29" s="143">
        <v>50946</v>
      </c>
      <c r="AL29" s="143">
        <v>28544</v>
      </c>
      <c r="AM29" s="143">
        <v>53914</v>
      </c>
      <c r="AN29" s="142">
        <v>566048</v>
      </c>
      <c r="AO29" s="144">
        <v>46023</v>
      </c>
      <c r="AP29" s="144">
        <v>46387</v>
      </c>
      <c r="AQ29" s="145" t="s">
        <v>122</v>
      </c>
    </row>
    <row r="30" spans="1:43" s="17" customFormat="1" ht="27.6" customHeight="1" thickBot="1">
      <c r="A30" s="20"/>
      <c r="B30" s="21"/>
      <c r="C30" s="21"/>
      <c r="D30" s="21"/>
      <c r="E30" s="21"/>
      <c r="F30" s="21"/>
      <c r="G30" s="21"/>
      <c r="H30" s="21"/>
      <c r="I30" s="21"/>
      <c r="J30" s="21"/>
      <c r="K30" s="21"/>
      <c r="L30" s="21"/>
      <c r="M30" s="21"/>
      <c r="N30" s="21"/>
      <c r="O30" s="21"/>
      <c r="P30" s="26"/>
      <c r="Q30" s="152">
        <f>SUM(Q10:Q29)</f>
        <v>4097278644</v>
      </c>
      <c r="R30" s="153"/>
      <c r="S30" s="153"/>
      <c r="T30" s="153"/>
      <c r="U30" s="153">
        <f>SUM(U10:U29)</f>
        <v>4705278644</v>
      </c>
      <c r="V30" s="49"/>
      <c r="W30" s="49"/>
      <c r="X30" s="21"/>
      <c r="Y30" s="21"/>
      <c r="Z30" s="21"/>
      <c r="AA30" s="21"/>
      <c r="AB30" s="21"/>
      <c r="AC30" s="21"/>
      <c r="AD30" s="21"/>
      <c r="AE30" s="21"/>
      <c r="AF30" s="21"/>
      <c r="AG30" s="21"/>
      <c r="AH30" s="21"/>
      <c r="AI30" s="21"/>
      <c r="AJ30" s="21"/>
      <c r="AK30" s="21"/>
      <c r="AL30" s="21"/>
      <c r="AM30" s="21"/>
      <c r="AN30" s="21"/>
      <c r="AO30" s="21"/>
      <c r="AP30" s="21"/>
      <c r="AQ30" s="22"/>
    </row>
    <row r="31" spans="1:43" s="17" customFormat="1" ht="14.25">
      <c r="W31" s="18"/>
      <c r="X31" s="18"/>
    </row>
    <row r="32" spans="1:43" s="17" customFormat="1" ht="14.25">
      <c r="W32" s="18"/>
      <c r="X32" s="18"/>
    </row>
    <row r="33" spans="1:44" s="17" customFormat="1" ht="14.25">
      <c r="W33" s="18"/>
      <c r="X33" s="18"/>
    </row>
    <row r="34" spans="1:44" s="17" customFormat="1" ht="14.25">
      <c r="W34" s="18"/>
      <c r="X34" s="18"/>
    </row>
    <row r="35" spans="1:44" s="17" customFormat="1">
      <c r="K35" s="980" t="s">
        <v>159</v>
      </c>
      <c r="L35" s="980"/>
      <c r="M35" s="980"/>
      <c r="N35" s="980"/>
      <c r="O35" s="980"/>
      <c r="P35" s="980"/>
      <c r="Q35" s="980"/>
      <c r="R35" s="37"/>
      <c r="S35" s="31"/>
      <c r="T35" s="31"/>
      <c r="U35" s="31"/>
      <c r="W35" s="18"/>
      <c r="X35" s="18"/>
    </row>
    <row r="36" spans="1:44">
      <c r="K36" s="981" t="s">
        <v>107</v>
      </c>
      <c r="L36" s="981"/>
      <c r="M36" s="981"/>
      <c r="N36" s="981"/>
      <c r="O36" s="981"/>
      <c r="P36" s="981"/>
      <c r="Q36" s="981"/>
      <c r="R36" s="38"/>
      <c r="S36" s="964"/>
      <c r="T36" s="964"/>
      <c r="U36" s="964"/>
    </row>
    <row r="37" spans="1:44">
      <c r="A37" s="17"/>
      <c r="B37" s="17"/>
      <c r="C37" s="17"/>
      <c r="D37" s="17"/>
      <c r="E37" s="17"/>
      <c r="F37" s="17"/>
      <c r="G37" s="17"/>
      <c r="H37" s="17"/>
      <c r="I37" s="17"/>
      <c r="J37" s="17"/>
      <c r="K37" s="17"/>
      <c r="L37" s="17"/>
      <c r="M37" s="17"/>
      <c r="N37" s="17"/>
      <c r="O37" s="17"/>
      <c r="P37" s="17"/>
      <c r="Q37" s="17"/>
      <c r="R37" s="17"/>
      <c r="S37" s="17"/>
      <c r="T37" s="17"/>
      <c r="U37" s="17"/>
      <c r="V37" s="17"/>
      <c r="W37" s="18"/>
      <c r="X37" s="18"/>
      <c r="Y37" s="17"/>
      <c r="Z37" s="17"/>
      <c r="AA37" s="17"/>
      <c r="AB37" s="17"/>
      <c r="AC37" s="17"/>
      <c r="AD37" s="17"/>
      <c r="AE37" s="17"/>
      <c r="AF37" s="17"/>
      <c r="AG37" s="17"/>
      <c r="AH37" s="17"/>
      <c r="AI37" s="17"/>
      <c r="AJ37" s="17"/>
      <c r="AK37" s="17"/>
      <c r="AL37" s="17"/>
      <c r="AM37" s="17"/>
      <c r="AN37" s="17"/>
      <c r="AO37" s="17"/>
      <c r="AP37" s="17"/>
      <c r="AQ37" s="17"/>
      <c r="AR37" s="17"/>
    </row>
    <row r="38" spans="1:44">
      <c r="A38" s="17"/>
      <c r="B38" s="17"/>
      <c r="C38" s="17"/>
      <c r="D38" s="17"/>
      <c r="E38" s="17"/>
      <c r="F38" s="17"/>
      <c r="G38" s="17"/>
      <c r="H38" s="17"/>
      <c r="I38" s="17"/>
      <c r="J38" s="17"/>
      <c r="K38" s="17"/>
      <c r="L38" s="17"/>
      <c r="M38" s="17"/>
      <c r="N38" s="17"/>
      <c r="O38" s="17"/>
      <c r="P38" s="17"/>
      <c r="Q38" s="17"/>
      <c r="R38" s="17"/>
      <c r="S38" s="17"/>
      <c r="T38" s="17"/>
      <c r="U38" s="17"/>
      <c r="V38" s="17"/>
      <c r="W38" s="18"/>
      <c r="X38" s="18"/>
      <c r="Y38" s="17"/>
      <c r="Z38" s="17"/>
      <c r="AA38" s="17"/>
      <c r="AB38" s="17"/>
      <c r="AC38" s="17"/>
      <c r="AD38" s="17"/>
      <c r="AE38" s="17"/>
      <c r="AF38" s="17"/>
      <c r="AG38" s="17"/>
      <c r="AH38" s="17"/>
      <c r="AI38" s="17"/>
      <c r="AJ38" s="17"/>
      <c r="AK38" s="17"/>
      <c r="AL38" s="17"/>
      <c r="AM38" s="17"/>
      <c r="AN38" s="17"/>
      <c r="AO38" s="17"/>
      <c r="AP38" s="17"/>
      <c r="AQ38" s="17"/>
      <c r="AR38" s="17"/>
    </row>
    <row r="39" spans="1:44">
      <c r="A39" s="17"/>
      <c r="B39" s="17"/>
      <c r="C39" s="17"/>
      <c r="D39" s="17"/>
      <c r="E39" s="17"/>
      <c r="F39" s="17"/>
      <c r="G39" s="979" t="s">
        <v>108</v>
      </c>
      <c r="H39" s="979"/>
      <c r="I39" s="982" t="s">
        <v>109</v>
      </c>
      <c r="J39" s="983"/>
      <c r="K39" s="984" t="s">
        <v>110</v>
      </c>
      <c r="L39" s="985"/>
      <c r="M39" s="985"/>
      <c r="N39" s="986"/>
      <c r="O39" s="17"/>
      <c r="P39" s="17"/>
      <c r="Q39" s="17"/>
      <c r="R39" s="17"/>
      <c r="S39" s="17"/>
      <c r="T39" s="17"/>
      <c r="U39" s="17"/>
      <c r="V39" s="17"/>
      <c r="W39" s="18"/>
      <c r="X39" s="18"/>
      <c r="Y39" s="17"/>
      <c r="Z39" s="17"/>
      <c r="AA39" s="17"/>
      <c r="AB39" s="17"/>
      <c r="AC39" s="17"/>
      <c r="AD39" s="17"/>
      <c r="AE39" s="17"/>
      <c r="AF39" s="17"/>
      <c r="AG39" s="17"/>
      <c r="AH39" s="17"/>
      <c r="AI39" s="17"/>
      <c r="AJ39" s="17"/>
      <c r="AK39" s="17"/>
      <c r="AL39" s="17"/>
      <c r="AM39" s="17"/>
      <c r="AN39" s="17"/>
      <c r="AO39" s="17"/>
      <c r="AP39" s="17"/>
      <c r="AQ39" s="17"/>
      <c r="AR39" s="17"/>
    </row>
    <row r="40" spans="1:44" ht="31.5" customHeight="1">
      <c r="A40" s="17"/>
      <c r="B40" s="17"/>
      <c r="C40" s="17"/>
      <c r="D40" s="17"/>
      <c r="E40" s="17"/>
      <c r="F40" s="17"/>
      <c r="G40" s="979" t="s">
        <v>111</v>
      </c>
      <c r="H40" s="979"/>
      <c r="I40" s="1017" t="s">
        <v>112</v>
      </c>
      <c r="J40" s="1018"/>
      <c r="K40" s="979" t="s">
        <v>113</v>
      </c>
      <c r="L40" s="979"/>
      <c r="M40" s="979"/>
      <c r="N40" s="979"/>
      <c r="O40" s="17"/>
      <c r="P40" s="17"/>
      <c r="Q40" s="17"/>
      <c r="R40" s="17"/>
      <c r="S40" s="17"/>
      <c r="T40" s="17"/>
      <c r="U40" s="17"/>
      <c r="V40" s="24"/>
      <c r="W40" s="18"/>
      <c r="X40" s="18"/>
      <c r="Y40" s="17"/>
      <c r="Z40" s="17"/>
      <c r="AA40" s="17"/>
      <c r="AB40" s="17"/>
      <c r="AC40" s="17"/>
      <c r="AD40" s="17"/>
      <c r="AE40" s="17"/>
      <c r="AF40" s="17"/>
      <c r="AG40" s="17"/>
      <c r="AH40" s="17"/>
      <c r="AI40" s="17"/>
      <c r="AJ40" s="17"/>
      <c r="AK40" s="17"/>
      <c r="AL40" s="17"/>
      <c r="AM40" s="17"/>
      <c r="AN40" s="17"/>
      <c r="AO40" s="17"/>
      <c r="AP40" s="17"/>
      <c r="AQ40" s="17"/>
      <c r="AR40" s="17"/>
    </row>
    <row r="41" spans="1:44" ht="25.5" customHeight="1">
      <c r="G41" s="979" t="s">
        <v>114</v>
      </c>
      <c r="H41" s="979"/>
      <c r="I41" s="979" t="s">
        <v>115</v>
      </c>
      <c r="J41" s="979"/>
      <c r="K41" s="979" t="s">
        <v>116</v>
      </c>
      <c r="L41" s="979"/>
      <c r="M41" s="979"/>
      <c r="N41" s="979"/>
    </row>
    <row r="42" spans="1:44">
      <c r="G42" s="19"/>
      <c r="H42" s="17"/>
      <c r="I42" s="17"/>
      <c r="J42" s="17"/>
    </row>
  </sheetData>
  <autoFilter ref="A9:BI30" xr:uid="{00000000-0009-0000-0000-000001000000}"/>
  <mergeCells count="32">
    <mergeCell ref="A1:B6"/>
    <mergeCell ref="C1:AO1"/>
    <mergeCell ref="C2:AO4"/>
    <mergeCell ref="C5:AO6"/>
    <mergeCell ref="A7:B8"/>
    <mergeCell ref="C7:D8"/>
    <mergeCell ref="E7:F8"/>
    <mergeCell ref="G7:H8"/>
    <mergeCell ref="I7:J8"/>
    <mergeCell ref="K7:M8"/>
    <mergeCell ref="AO7:AO9"/>
    <mergeCell ref="N7:Q8"/>
    <mergeCell ref="AP7:AP9"/>
    <mergeCell ref="AQ7:AQ9"/>
    <mergeCell ref="V8:X8"/>
    <mergeCell ref="Y8:Z8"/>
    <mergeCell ref="AA8:AD8"/>
    <mergeCell ref="AE8:AJ8"/>
    <mergeCell ref="AK8:AM8"/>
    <mergeCell ref="AN8:AN9"/>
    <mergeCell ref="Y7:AN7"/>
    <mergeCell ref="K35:Q35"/>
    <mergeCell ref="K36:Q36"/>
    <mergeCell ref="G39:H39"/>
    <mergeCell ref="I39:J39"/>
    <mergeCell ref="K39:N39"/>
    <mergeCell ref="G40:H40"/>
    <mergeCell ref="I40:J40"/>
    <mergeCell ref="K40:N40"/>
    <mergeCell ref="G41:H41"/>
    <mergeCell ref="I41:J41"/>
    <mergeCell ref="K41:N41"/>
  </mergeCells>
  <pageMargins left="0.25" right="0.25" top="0.75" bottom="0.75" header="0.3" footer="0.3"/>
  <pageSetup scale="22" fitToHeight="6"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I71"/>
  <sheetViews>
    <sheetView zoomScale="70" zoomScaleNormal="70" zoomScaleSheetLayoutView="70" workbookViewId="0">
      <pane ySplit="9" topLeftCell="N38" activePane="bottomLeft" state="frozen"/>
      <selection pane="bottomLeft" activeCell="R39" sqref="R39"/>
    </sheetView>
  </sheetViews>
  <sheetFormatPr defaultColWidth="11.42578125" defaultRowHeight="15" customHeight="1"/>
  <cols>
    <col min="1" max="1" width="12.28515625" customWidth="1"/>
    <col min="2" max="2" width="18.42578125" customWidth="1"/>
    <col min="3" max="3" width="12.42578125" customWidth="1"/>
    <col min="4" max="4" width="11.42578125" customWidth="1"/>
    <col min="5" max="5" width="12.7109375" customWidth="1"/>
    <col min="6" max="6" width="19" customWidth="1"/>
    <col min="7" max="7" width="13.7109375" customWidth="1"/>
    <col min="8" max="8" width="19.140625" customWidth="1"/>
    <col min="9" max="9" width="13.7109375" customWidth="1"/>
    <col min="10" max="10" width="27.140625" customWidth="1"/>
    <col min="11" max="13" width="15.7109375" customWidth="1"/>
    <col min="14" max="14" width="22.7109375" customWidth="1"/>
    <col min="15" max="15" width="40" customWidth="1"/>
    <col min="16" max="16" width="67.140625" customWidth="1"/>
    <col min="17" max="17" width="22.42578125" bestFit="1" customWidth="1"/>
    <col min="18" max="18" width="24.85546875" hidden="1" customWidth="1"/>
    <col min="19" max="19" width="23.42578125" hidden="1" customWidth="1"/>
    <col min="20" max="20" width="22" hidden="1" customWidth="1"/>
    <col min="21" max="21" width="22.140625" hidden="1" customWidth="1"/>
    <col min="22" max="22" width="58.42578125" customWidth="1"/>
    <col min="23" max="23" width="12" customWidth="1"/>
    <col min="24" max="24" width="17.42578125" customWidth="1"/>
    <col min="25" max="25" width="10.7109375" customWidth="1"/>
    <col min="26" max="26" width="11" customWidth="1"/>
    <col min="27" max="27" width="9.28515625" customWidth="1"/>
    <col min="28" max="28" width="7.42578125" customWidth="1"/>
    <col min="29" max="29" width="9.42578125" customWidth="1"/>
    <col min="30" max="30" width="8.42578125" customWidth="1"/>
    <col min="31" max="31" width="9.42578125" customWidth="1"/>
    <col min="32" max="32" width="8.85546875" customWidth="1"/>
    <col min="33" max="33" width="6.7109375" customWidth="1"/>
    <col min="34" max="34" width="6.42578125" customWidth="1"/>
    <col min="35" max="35" width="6.28515625" customWidth="1"/>
    <col min="36" max="36" width="6.42578125" customWidth="1"/>
    <col min="37" max="37" width="11.7109375" customWidth="1"/>
    <col min="38" max="38" width="10.85546875" customWidth="1"/>
    <col min="39" max="39" width="7.28515625" customWidth="1"/>
    <col min="40" max="40" width="11" customWidth="1"/>
    <col min="41" max="41" width="16.7109375" customWidth="1"/>
    <col min="42" max="42" width="17.85546875" customWidth="1"/>
    <col min="43" max="43" width="19.42578125" customWidth="1"/>
  </cols>
  <sheetData>
    <row r="1" spans="1:61">
      <c r="A1" s="1001"/>
      <c r="B1" s="1001"/>
      <c r="C1" s="1002" t="s">
        <v>0</v>
      </c>
      <c r="D1" s="1002"/>
      <c r="E1" s="1002"/>
      <c r="F1" s="1002"/>
      <c r="G1" s="1002"/>
      <c r="H1" s="1002"/>
      <c r="I1" s="1002"/>
      <c r="J1" s="1002"/>
      <c r="K1" s="1002"/>
      <c r="L1" s="1002"/>
      <c r="M1" s="1002"/>
      <c r="N1" s="1002"/>
      <c r="O1" s="1002"/>
      <c r="P1" s="1002"/>
      <c r="Q1" s="1002"/>
      <c r="R1" s="1002"/>
      <c r="S1" s="1002"/>
      <c r="T1" s="1002"/>
      <c r="U1" s="1002"/>
      <c r="V1" s="1002"/>
      <c r="W1" s="1002"/>
      <c r="X1" s="1002"/>
      <c r="Y1" s="1002"/>
      <c r="Z1" s="1002"/>
      <c r="AA1" s="1002"/>
      <c r="AB1" s="1002"/>
      <c r="AC1" s="1002"/>
      <c r="AD1" s="1002"/>
      <c r="AE1" s="1002"/>
      <c r="AF1" s="1002"/>
      <c r="AG1" s="1002"/>
      <c r="AH1" s="1002"/>
      <c r="AI1" s="1002"/>
      <c r="AJ1" s="1002"/>
      <c r="AK1" s="1002"/>
      <c r="AL1" s="1002"/>
      <c r="AM1" s="1002"/>
      <c r="AN1" s="1002"/>
      <c r="AO1" s="1002"/>
    </row>
    <row r="2" spans="1:61" s="2" customFormat="1" ht="14.45" customHeight="1">
      <c r="A2" s="1001"/>
      <c r="B2" s="1001"/>
      <c r="C2" s="1003" t="s">
        <v>160</v>
      </c>
      <c r="D2" s="1003"/>
      <c r="E2" s="1003"/>
      <c r="F2" s="1003"/>
      <c r="G2" s="1003"/>
      <c r="H2" s="1003"/>
      <c r="I2" s="1003"/>
      <c r="J2" s="1003"/>
      <c r="K2" s="1003"/>
      <c r="L2" s="1003"/>
      <c r="M2" s="1003"/>
      <c r="N2" s="1003"/>
      <c r="O2" s="1003"/>
      <c r="P2" s="1003"/>
      <c r="Q2" s="1003"/>
      <c r="R2" s="1003"/>
      <c r="S2" s="1003"/>
      <c r="T2" s="1003"/>
      <c r="U2" s="1003"/>
      <c r="V2" s="1003"/>
      <c r="W2" s="1003"/>
      <c r="X2" s="1003"/>
      <c r="Y2" s="1003"/>
      <c r="Z2" s="1003"/>
      <c r="AA2" s="1003"/>
      <c r="AB2" s="1003"/>
      <c r="AC2" s="1003"/>
      <c r="AD2" s="1003"/>
      <c r="AE2" s="1003"/>
      <c r="AF2" s="1003"/>
      <c r="AG2" s="1003"/>
      <c r="AH2" s="1003"/>
      <c r="AI2" s="1003"/>
      <c r="AJ2" s="1003"/>
      <c r="AK2" s="1003"/>
      <c r="AL2" s="1003"/>
      <c r="AM2" s="1003"/>
      <c r="AN2" s="1003"/>
      <c r="AO2" s="1003"/>
      <c r="AP2" s="25" t="s">
        <v>2</v>
      </c>
      <c r="AQ2" s="957" t="s">
        <v>3</v>
      </c>
      <c r="AR2" s="1"/>
      <c r="AS2" s="1"/>
      <c r="AT2" s="1"/>
      <c r="AU2" s="1"/>
      <c r="AV2" s="1"/>
      <c r="AW2" s="1"/>
      <c r="AX2" s="1"/>
      <c r="AY2" s="1"/>
      <c r="AZ2" s="1"/>
      <c r="BA2" s="1"/>
      <c r="BB2" s="1"/>
      <c r="BC2" s="1"/>
      <c r="BD2" s="1"/>
      <c r="BE2" s="1"/>
      <c r="BF2" s="1"/>
      <c r="BG2" s="1"/>
      <c r="BH2" s="1"/>
      <c r="BI2" s="1"/>
    </row>
    <row r="3" spans="1:61" s="2" customFormat="1" ht="11.25" customHeight="1">
      <c r="A3" s="1001"/>
      <c r="B3" s="1001"/>
      <c r="C3" s="1003"/>
      <c r="D3" s="1003"/>
      <c r="E3" s="1003"/>
      <c r="F3" s="1003"/>
      <c r="G3" s="1003"/>
      <c r="H3" s="1003"/>
      <c r="I3" s="1003"/>
      <c r="J3" s="1003"/>
      <c r="K3" s="1003"/>
      <c r="L3" s="1003"/>
      <c r="M3" s="1003"/>
      <c r="N3" s="1003"/>
      <c r="O3" s="1003"/>
      <c r="P3" s="1003"/>
      <c r="Q3" s="1003"/>
      <c r="R3" s="1003"/>
      <c r="S3" s="1003"/>
      <c r="T3" s="1003"/>
      <c r="U3" s="1003"/>
      <c r="V3" s="1003"/>
      <c r="W3" s="1003"/>
      <c r="X3" s="1003"/>
      <c r="Y3" s="1003"/>
      <c r="Z3" s="1003"/>
      <c r="AA3" s="1003"/>
      <c r="AB3" s="1003"/>
      <c r="AC3" s="1003"/>
      <c r="AD3" s="1003"/>
      <c r="AE3" s="1003"/>
      <c r="AF3" s="1003"/>
      <c r="AG3" s="1003"/>
      <c r="AH3" s="1003"/>
      <c r="AI3" s="1003"/>
      <c r="AJ3" s="1003"/>
      <c r="AK3" s="1003"/>
      <c r="AL3" s="1003"/>
      <c r="AM3" s="1003"/>
      <c r="AN3" s="1003"/>
      <c r="AO3" s="1003"/>
      <c r="AP3" s="42" t="s">
        <v>4</v>
      </c>
      <c r="AQ3" s="40">
        <v>14</v>
      </c>
      <c r="AR3" s="1"/>
      <c r="AS3" s="1"/>
      <c r="AT3" s="1"/>
      <c r="AU3" s="1"/>
      <c r="AV3" s="1"/>
      <c r="AW3" s="1"/>
      <c r="AX3" s="1"/>
      <c r="AY3" s="1"/>
      <c r="AZ3" s="1"/>
      <c r="BA3" s="1"/>
      <c r="BB3" s="1"/>
      <c r="BC3" s="1"/>
      <c r="BD3" s="1"/>
      <c r="BE3" s="1"/>
      <c r="BF3" s="1"/>
      <c r="BG3" s="1"/>
      <c r="BH3" s="1"/>
      <c r="BI3" s="1"/>
    </row>
    <row r="4" spans="1:61" s="2" customFormat="1" ht="18.75" customHeight="1">
      <c r="A4" s="1001"/>
      <c r="B4" s="1001"/>
      <c r="C4" s="1003"/>
      <c r="D4" s="1003"/>
      <c r="E4" s="1003"/>
      <c r="F4" s="1003"/>
      <c r="G4" s="1003"/>
      <c r="H4" s="1003"/>
      <c r="I4" s="1003"/>
      <c r="J4" s="1003"/>
      <c r="K4" s="1003"/>
      <c r="L4" s="1003"/>
      <c r="M4" s="1003"/>
      <c r="N4" s="1003"/>
      <c r="O4" s="1003"/>
      <c r="P4" s="1003"/>
      <c r="Q4" s="1003"/>
      <c r="R4" s="1003"/>
      <c r="S4" s="1003"/>
      <c r="T4" s="1003"/>
      <c r="U4" s="1003"/>
      <c r="V4" s="1003"/>
      <c r="W4" s="1003"/>
      <c r="X4" s="1003"/>
      <c r="Y4" s="1003"/>
      <c r="Z4" s="1003"/>
      <c r="AA4" s="1003"/>
      <c r="AB4" s="1003"/>
      <c r="AC4" s="1003"/>
      <c r="AD4" s="1003"/>
      <c r="AE4" s="1003"/>
      <c r="AF4" s="1003"/>
      <c r="AG4" s="1003"/>
      <c r="AH4" s="1003"/>
      <c r="AI4" s="1003"/>
      <c r="AJ4" s="1003"/>
      <c r="AK4" s="1003"/>
      <c r="AL4" s="1003"/>
      <c r="AM4" s="1003"/>
      <c r="AN4" s="1003"/>
      <c r="AO4" s="1003"/>
      <c r="AP4" s="42" t="s">
        <v>5</v>
      </c>
      <c r="AQ4" s="41">
        <v>45884</v>
      </c>
      <c r="AR4" s="1"/>
      <c r="AS4" s="1"/>
      <c r="AT4" s="1"/>
      <c r="AU4" s="1"/>
      <c r="AV4" s="1"/>
      <c r="AW4" s="1"/>
      <c r="AX4" s="1"/>
      <c r="AY4" s="1"/>
      <c r="AZ4" s="1"/>
      <c r="BA4" s="1"/>
      <c r="BB4" s="1"/>
      <c r="BC4" s="1"/>
      <c r="BD4" s="1"/>
      <c r="BE4" s="1"/>
      <c r="BF4" s="1"/>
      <c r="BG4" s="1"/>
      <c r="BH4" s="1"/>
      <c r="BI4" s="1"/>
    </row>
    <row r="5" spans="1:61" s="2" customFormat="1" ht="14.45" customHeight="1">
      <c r="A5" s="1001"/>
      <c r="B5" s="1001"/>
      <c r="C5" s="1004" t="s">
        <v>6</v>
      </c>
      <c r="D5" s="1004"/>
      <c r="E5" s="1004"/>
      <c r="F5" s="1004"/>
      <c r="G5" s="1004"/>
      <c r="H5" s="1004"/>
      <c r="I5" s="1004"/>
      <c r="J5" s="1004"/>
      <c r="K5" s="1004"/>
      <c r="L5" s="1004"/>
      <c r="M5" s="1004"/>
      <c r="N5" s="1004"/>
      <c r="O5" s="1004"/>
      <c r="P5" s="1004"/>
      <c r="Q5" s="1004"/>
      <c r="R5" s="1004"/>
      <c r="S5" s="1004"/>
      <c r="T5" s="1004"/>
      <c r="U5" s="1004"/>
      <c r="V5" s="1004"/>
      <c r="W5" s="1004"/>
      <c r="X5" s="1004"/>
      <c r="Y5" s="1004"/>
      <c r="Z5" s="1004"/>
      <c r="AA5" s="1004"/>
      <c r="AB5" s="1004"/>
      <c r="AC5" s="1004"/>
      <c r="AD5" s="1004"/>
      <c r="AE5" s="1004"/>
      <c r="AF5" s="1004"/>
      <c r="AG5" s="1004"/>
      <c r="AH5" s="1004"/>
      <c r="AI5" s="1004"/>
      <c r="AJ5" s="1004"/>
      <c r="AK5" s="1004"/>
      <c r="AL5" s="1004"/>
      <c r="AM5" s="1004"/>
      <c r="AN5" s="1004"/>
      <c r="AO5" s="1004"/>
      <c r="AP5" s="25" t="s">
        <v>7</v>
      </c>
      <c r="AQ5" s="3" t="s">
        <v>8</v>
      </c>
      <c r="AR5" s="1"/>
      <c r="AS5" s="1"/>
      <c r="AT5" s="1"/>
      <c r="AU5" s="1"/>
      <c r="AV5" s="1"/>
      <c r="AW5" s="1"/>
      <c r="AX5" s="1"/>
      <c r="AY5" s="1"/>
      <c r="AZ5" s="1"/>
      <c r="BA5" s="1"/>
      <c r="BB5" s="1"/>
      <c r="BC5" s="1"/>
      <c r="BD5" s="1"/>
      <c r="BE5" s="1"/>
      <c r="BF5" s="1"/>
      <c r="BG5" s="1"/>
      <c r="BH5" s="1"/>
      <c r="BI5" s="1"/>
    </row>
    <row r="6" spans="1:61" s="2" customFormat="1" ht="9.75" customHeight="1">
      <c r="A6" s="1001"/>
      <c r="B6" s="1001"/>
      <c r="C6" s="1004"/>
      <c r="D6" s="1004"/>
      <c r="E6" s="1004"/>
      <c r="F6" s="1004"/>
      <c r="G6" s="1004"/>
      <c r="H6" s="1004"/>
      <c r="I6" s="1004"/>
      <c r="J6" s="1004"/>
      <c r="K6" s="1005"/>
      <c r="L6" s="1005"/>
      <c r="M6" s="1005"/>
      <c r="N6" s="1004"/>
      <c r="O6" s="1004"/>
      <c r="P6" s="1004"/>
      <c r="Q6" s="1004"/>
      <c r="R6" s="1004"/>
      <c r="S6" s="1004"/>
      <c r="T6" s="1004"/>
      <c r="U6" s="1004"/>
      <c r="V6" s="1004"/>
      <c r="W6" s="1004"/>
      <c r="X6" s="1004"/>
      <c r="Y6" s="1004"/>
      <c r="Z6" s="1004"/>
      <c r="AA6" s="1004"/>
      <c r="AB6" s="1004"/>
      <c r="AC6" s="1004"/>
      <c r="AD6" s="1004"/>
      <c r="AE6" s="1004"/>
      <c r="AF6" s="1004"/>
      <c r="AG6" s="1004"/>
      <c r="AH6" s="1004"/>
      <c r="AI6" s="1004"/>
      <c r="AJ6" s="1004"/>
      <c r="AK6" s="1004"/>
      <c r="AL6" s="1004"/>
      <c r="AM6" s="1004"/>
      <c r="AN6" s="1004"/>
      <c r="AO6" s="1004"/>
      <c r="AP6" s="4"/>
      <c r="AQ6" s="5"/>
      <c r="AR6" s="1"/>
      <c r="AS6" s="1"/>
      <c r="AT6" s="1"/>
      <c r="AU6" s="1"/>
      <c r="AV6" s="1"/>
      <c r="AW6" s="1"/>
      <c r="AX6" s="1"/>
      <c r="AY6" s="1"/>
      <c r="AZ6" s="1"/>
      <c r="BA6" s="1"/>
      <c r="BB6" s="1"/>
      <c r="BC6" s="1"/>
      <c r="BD6" s="1"/>
      <c r="BE6" s="1"/>
      <c r="BF6" s="1"/>
      <c r="BG6" s="1"/>
      <c r="BH6" s="1"/>
      <c r="BI6" s="1"/>
    </row>
    <row r="7" spans="1:61" ht="21" customHeight="1">
      <c r="A7" s="1006" t="s">
        <v>9</v>
      </c>
      <c r="B7" s="1007"/>
      <c r="C7" s="1006" t="s">
        <v>10</v>
      </c>
      <c r="D7" s="1010"/>
      <c r="E7" s="1006" t="s">
        <v>11</v>
      </c>
      <c r="F7" s="1010"/>
      <c r="G7" s="1006" t="s">
        <v>12</v>
      </c>
      <c r="H7" s="1010"/>
      <c r="I7" s="1012" t="s">
        <v>13</v>
      </c>
      <c r="J7" s="1012"/>
      <c r="K7" s="1014" t="s">
        <v>14</v>
      </c>
      <c r="L7" s="1014"/>
      <c r="M7" s="1014"/>
      <c r="N7" s="1015" t="s">
        <v>15</v>
      </c>
      <c r="O7" s="1015"/>
      <c r="P7" s="1015"/>
      <c r="Q7" s="1015"/>
      <c r="R7" s="33"/>
      <c r="S7" s="958"/>
      <c r="T7" s="958"/>
      <c r="U7" s="958"/>
      <c r="V7" s="6"/>
      <c r="W7" s="6"/>
      <c r="X7" s="7"/>
      <c r="Y7" s="998" t="s">
        <v>16</v>
      </c>
      <c r="Z7" s="999"/>
      <c r="AA7" s="999"/>
      <c r="AB7" s="999"/>
      <c r="AC7" s="999"/>
      <c r="AD7" s="999"/>
      <c r="AE7" s="999"/>
      <c r="AF7" s="999"/>
      <c r="AG7" s="999"/>
      <c r="AH7" s="999"/>
      <c r="AI7" s="999"/>
      <c r="AJ7" s="999"/>
      <c r="AK7" s="999"/>
      <c r="AL7" s="999"/>
      <c r="AM7" s="999"/>
      <c r="AN7" s="1000"/>
      <c r="AO7" s="987" t="s">
        <v>17</v>
      </c>
      <c r="AP7" s="987" t="s">
        <v>18</v>
      </c>
      <c r="AQ7" s="987" t="s">
        <v>19</v>
      </c>
    </row>
    <row r="8" spans="1:61" s="9" customFormat="1" ht="12.75" customHeight="1">
      <c r="A8" s="1008"/>
      <c r="B8" s="1009"/>
      <c r="C8" s="1008"/>
      <c r="D8" s="1011"/>
      <c r="E8" s="1008"/>
      <c r="F8" s="1011"/>
      <c r="G8" s="1008"/>
      <c r="H8" s="1011"/>
      <c r="I8" s="1013"/>
      <c r="J8" s="1013"/>
      <c r="K8" s="1014"/>
      <c r="L8" s="1014"/>
      <c r="M8" s="1014"/>
      <c r="N8" s="1016"/>
      <c r="O8" s="1016"/>
      <c r="P8" s="1016"/>
      <c r="Q8" s="1016"/>
      <c r="R8" s="34"/>
      <c r="S8" s="959"/>
      <c r="T8" s="959"/>
      <c r="U8" s="959"/>
      <c r="V8" s="990" t="s">
        <v>20</v>
      </c>
      <c r="W8" s="991"/>
      <c r="X8" s="992"/>
      <c r="Y8" s="993" t="s">
        <v>21</v>
      </c>
      <c r="Z8" s="994"/>
      <c r="AA8" s="995" t="s">
        <v>22</v>
      </c>
      <c r="AB8" s="994"/>
      <c r="AC8" s="994"/>
      <c r="AD8" s="994"/>
      <c r="AE8" s="996" t="s">
        <v>23</v>
      </c>
      <c r="AF8" s="994"/>
      <c r="AG8" s="994"/>
      <c r="AH8" s="994"/>
      <c r="AI8" s="994"/>
      <c r="AJ8" s="994"/>
      <c r="AK8" s="995" t="s">
        <v>24</v>
      </c>
      <c r="AL8" s="994"/>
      <c r="AM8" s="994"/>
      <c r="AN8" s="997" t="s">
        <v>25</v>
      </c>
      <c r="AO8" s="988"/>
      <c r="AP8" s="988"/>
      <c r="AQ8" s="988"/>
      <c r="AR8" s="8"/>
      <c r="AS8" s="8"/>
      <c r="AT8" s="8"/>
      <c r="AU8" s="8"/>
      <c r="AV8" s="8"/>
      <c r="AW8" s="8"/>
      <c r="AX8" s="8"/>
      <c r="AY8" s="8"/>
      <c r="AZ8" s="8"/>
      <c r="BA8" s="8"/>
      <c r="BB8" s="8"/>
      <c r="BC8" s="8"/>
      <c r="BD8" s="8"/>
      <c r="BE8" s="8"/>
      <c r="BF8" s="8"/>
    </row>
    <row r="9" spans="1:61" s="16" customFormat="1" ht="55.5" customHeight="1">
      <c r="A9" s="10" t="s">
        <v>26</v>
      </c>
      <c r="B9" s="10" t="s">
        <v>27</v>
      </c>
      <c r="C9" s="10" t="s">
        <v>28</v>
      </c>
      <c r="D9" s="11" t="s">
        <v>29</v>
      </c>
      <c r="E9" s="11" t="s">
        <v>28</v>
      </c>
      <c r="F9" s="11" t="s">
        <v>29</v>
      </c>
      <c r="G9" s="12" t="s">
        <v>26</v>
      </c>
      <c r="H9" s="12" t="s">
        <v>29</v>
      </c>
      <c r="I9" s="12" t="s">
        <v>30</v>
      </c>
      <c r="J9" s="12" t="s">
        <v>31</v>
      </c>
      <c r="K9" s="39" t="s">
        <v>32</v>
      </c>
      <c r="L9" s="39" t="s">
        <v>33</v>
      </c>
      <c r="M9" s="39" t="s">
        <v>25</v>
      </c>
      <c r="N9" s="12" t="s">
        <v>34</v>
      </c>
      <c r="O9" s="12" t="s">
        <v>35</v>
      </c>
      <c r="P9" s="11" t="s">
        <v>36</v>
      </c>
      <c r="Q9" s="13" t="s">
        <v>37</v>
      </c>
      <c r="R9" s="35" t="s">
        <v>38</v>
      </c>
      <c r="S9" s="13" t="s">
        <v>39</v>
      </c>
      <c r="T9" s="13" t="s">
        <v>40</v>
      </c>
      <c r="U9" s="13" t="s">
        <v>41</v>
      </c>
      <c r="V9" s="10" t="s">
        <v>42</v>
      </c>
      <c r="W9" s="11" t="s">
        <v>26</v>
      </c>
      <c r="X9" s="11" t="s">
        <v>27</v>
      </c>
      <c r="Y9" s="14" t="s">
        <v>43</v>
      </c>
      <c r="Z9" s="15" t="s">
        <v>44</v>
      </c>
      <c r="AA9" s="14" t="s">
        <v>45</v>
      </c>
      <c r="AB9" s="14" t="s">
        <v>46</v>
      </c>
      <c r="AC9" s="14" t="s">
        <v>47</v>
      </c>
      <c r="AD9" s="14" t="s">
        <v>48</v>
      </c>
      <c r="AE9" s="14" t="s">
        <v>49</v>
      </c>
      <c r="AF9" s="14" t="s">
        <v>50</v>
      </c>
      <c r="AG9" s="14" t="s">
        <v>51</v>
      </c>
      <c r="AH9" s="14" t="s">
        <v>52</v>
      </c>
      <c r="AI9" s="14" t="s">
        <v>53</v>
      </c>
      <c r="AJ9" s="14" t="s">
        <v>54</v>
      </c>
      <c r="AK9" s="14" t="s">
        <v>55</v>
      </c>
      <c r="AL9" s="14" t="s">
        <v>56</v>
      </c>
      <c r="AM9" s="14" t="s">
        <v>57</v>
      </c>
      <c r="AN9" s="997"/>
      <c r="AO9" s="989"/>
      <c r="AP9" s="989"/>
      <c r="AQ9" s="989"/>
      <c r="AR9" s="8"/>
      <c r="AS9" s="8"/>
      <c r="AT9" s="8"/>
      <c r="AU9" s="8"/>
      <c r="AV9" s="8"/>
      <c r="AW9" s="8"/>
      <c r="AX9" s="8"/>
      <c r="AY9" s="8"/>
      <c r="AZ9" s="8"/>
      <c r="BA9" s="8"/>
      <c r="BB9" s="8"/>
      <c r="BC9" s="8"/>
      <c r="BD9" s="8"/>
      <c r="BE9" s="8"/>
      <c r="BF9" s="8"/>
    </row>
    <row r="10" spans="1:61" s="107" customFormat="1" ht="171" customHeight="1">
      <c r="A10" s="100">
        <v>4</v>
      </c>
      <c r="B10" s="521" t="s">
        <v>58</v>
      </c>
      <c r="C10" s="100">
        <v>45</v>
      </c>
      <c r="D10" s="521" t="s">
        <v>161</v>
      </c>
      <c r="E10" s="100">
        <v>4599</v>
      </c>
      <c r="F10" s="521" t="s">
        <v>86</v>
      </c>
      <c r="G10" s="113">
        <v>4599031</v>
      </c>
      <c r="H10" s="325" t="s">
        <v>162</v>
      </c>
      <c r="I10" s="113">
        <v>459903102</v>
      </c>
      <c r="J10" s="325" t="s">
        <v>163</v>
      </c>
      <c r="K10" s="888">
        <v>16</v>
      </c>
      <c r="L10" s="888"/>
      <c r="M10" s="888">
        <v>16</v>
      </c>
      <c r="N10" s="101">
        <v>2024003630035</v>
      </c>
      <c r="O10" s="102" t="s">
        <v>164</v>
      </c>
      <c r="P10" s="521" t="s">
        <v>165</v>
      </c>
      <c r="Q10" s="103">
        <v>50000000</v>
      </c>
      <c r="R10" s="104">
        <f>10000000</f>
        <v>10000000</v>
      </c>
      <c r="S10" s="104"/>
      <c r="T10" s="104"/>
      <c r="U10" s="104">
        <f t="shared" ref="U10:U11" si="0">Q10-R10+S10-T10</f>
        <v>40000000</v>
      </c>
      <c r="V10" s="105" t="s">
        <v>166</v>
      </c>
      <c r="W10" s="671">
        <v>20</v>
      </c>
      <c r="X10" s="672" t="s">
        <v>167</v>
      </c>
      <c r="Y10" s="889">
        <v>293304</v>
      </c>
      <c r="Z10" s="889">
        <v>272744</v>
      </c>
      <c r="AA10" s="889">
        <v>99059</v>
      </c>
      <c r="AB10" s="889">
        <v>36139</v>
      </c>
      <c r="AC10" s="889">
        <v>314186</v>
      </c>
      <c r="AD10" s="889">
        <v>116664</v>
      </c>
      <c r="AE10" s="889">
        <v>3247</v>
      </c>
      <c r="AF10" s="889">
        <v>6804</v>
      </c>
      <c r="AG10" s="890">
        <v>25</v>
      </c>
      <c r="AH10" s="890">
        <v>7</v>
      </c>
      <c r="AI10" s="890"/>
      <c r="AJ10" s="890"/>
      <c r="AK10" s="890"/>
      <c r="AL10" s="889">
        <v>28554</v>
      </c>
      <c r="AM10" s="889">
        <v>53914</v>
      </c>
      <c r="AN10" s="889">
        <v>566048</v>
      </c>
      <c r="AO10" s="106">
        <v>46023</v>
      </c>
      <c r="AP10" s="106">
        <v>46387</v>
      </c>
      <c r="AQ10" s="891" t="s">
        <v>168</v>
      </c>
    </row>
    <row r="11" spans="1:61" s="107" customFormat="1" ht="96" customHeight="1">
      <c r="A11" s="100">
        <v>4</v>
      </c>
      <c r="B11" s="521" t="s">
        <v>58</v>
      </c>
      <c r="C11" s="100">
        <v>45</v>
      </c>
      <c r="D11" s="521" t="s">
        <v>161</v>
      </c>
      <c r="E11" s="100">
        <v>4599</v>
      </c>
      <c r="F11" s="521" t="s">
        <v>86</v>
      </c>
      <c r="G11" s="113">
        <v>4599031</v>
      </c>
      <c r="H11" s="325" t="s">
        <v>162</v>
      </c>
      <c r="I11" s="113">
        <v>459903102</v>
      </c>
      <c r="J11" s="325" t="s">
        <v>163</v>
      </c>
      <c r="K11" s="888">
        <v>16</v>
      </c>
      <c r="L11" s="888"/>
      <c r="M11" s="888">
        <v>16</v>
      </c>
      <c r="N11" s="101">
        <v>2024003630035</v>
      </c>
      <c r="O11" s="102" t="s">
        <v>164</v>
      </c>
      <c r="P11" s="521" t="s">
        <v>169</v>
      </c>
      <c r="Q11" s="103">
        <v>24000000</v>
      </c>
      <c r="R11" s="104">
        <f>4800000</f>
        <v>4800000</v>
      </c>
      <c r="S11" s="104"/>
      <c r="T11" s="939">
        <v>2000000</v>
      </c>
      <c r="U11" s="104">
        <f t="shared" si="0"/>
        <v>17200000</v>
      </c>
      <c r="V11" s="105" t="s">
        <v>166</v>
      </c>
      <c r="W11" s="671">
        <v>20</v>
      </c>
      <c r="X11" s="672" t="s">
        <v>167</v>
      </c>
      <c r="Y11" s="889">
        <v>293304</v>
      </c>
      <c r="Z11" s="889">
        <v>272744</v>
      </c>
      <c r="AA11" s="889">
        <v>99059</v>
      </c>
      <c r="AB11" s="889">
        <v>36139</v>
      </c>
      <c r="AC11" s="889">
        <v>314186</v>
      </c>
      <c r="AD11" s="889">
        <v>116664</v>
      </c>
      <c r="AE11" s="889">
        <v>3247</v>
      </c>
      <c r="AF11" s="889">
        <v>6804</v>
      </c>
      <c r="AG11" s="890">
        <v>25</v>
      </c>
      <c r="AH11" s="890">
        <v>7</v>
      </c>
      <c r="AI11" s="890"/>
      <c r="AJ11" s="890"/>
      <c r="AK11" s="890"/>
      <c r="AL11" s="889">
        <v>28554</v>
      </c>
      <c r="AM11" s="889">
        <v>53914</v>
      </c>
      <c r="AN11" s="889">
        <v>566048</v>
      </c>
      <c r="AO11" s="106">
        <v>46023</v>
      </c>
      <c r="AP11" s="106">
        <v>46387</v>
      </c>
      <c r="AQ11" s="891" t="s">
        <v>168</v>
      </c>
    </row>
    <row r="12" spans="1:61" s="107" customFormat="1" ht="154.5" customHeight="1">
      <c r="A12" s="100">
        <v>4</v>
      </c>
      <c r="B12" s="521" t="s">
        <v>58</v>
      </c>
      <c r="C12" s="100">
        <v>45</v>
      </c>
      <c r="D12" s="521" t="s">
        <v>161</v>
      </c>
      <c r="E12" s="100">
        <v>4599</v>
      </c>
      <c r="F12" s="521" t="s">
        <v>86</v>
      </c>
      <c r="G12" s="113">
        <v>4599031</v>
      </c>
      <c r="H12" s="325" t="s">
        <v>162</v>
      </c>
      <c r="I12" s="113">
        <v>459903102</v>
      </c>
      <c r="J12" s="325" t="s">
        <v>163</v>
      </c>
      <c r="K12" s="888">
        <v>16</v>
      </c>
      <c r="L12" s="888"/>
      <c r="M12" s="888">
        <v>16</v>
      </c>
      <c r="N12" s="101">
        <v>2024003630035</v>
      </c>
      <c r="O12" s="102" t="s">
        <v>164</v>
      </c>
      <c r="P12" s="521" t="s">
        <v>170</v>
      </c>
      <c r="Q12" s="103">
        <v>125000000</v>
      </c>
      <c r="R12" s="104">
        <f>7500000+7500000+7500000+7500000</f>
        <v>30000000</v>
      </c>
      <c r="S12" s="104"/>
      <c r="T12" s="104"/>
      <c r="U12" s="104">
        <f>Q12-R12+S12-T12</f>
        <v>95000000</v>
      </c>
      <c r="V12" s="105" t="s">
        <v>166</v>
      </c>
      <c r="W12" s="671">
        <v>20</v>
      </c>
      <c r="X12" s="672" t="s">
        <v>167</v>
      </c>
      <c r="Y12" s="889">
        <v>293304</v>
      </c>
      <c r="Z12" s="889">
        <v>272744</v>
      </c>
      <c r="AA12" s="889">
        <v>99059</v>
      </c>
      <c r="AB12" s="889">
        <v>36139</v>
      </c>
      <c r="AC12" s="889">
        <v>314186</v>
      </c>
      <c r="AD12" s="889">
        <v>116664</v>
      </c>
      <c r="AE12" s="889">
        <v>3247</v>
      </c>
      <c r="AF12" s="889">
        <v>6804</v>
      </c>
      <c r="AG12" s="890">
        <v>25</v>
      </c>
      <c r="AH12" s="890">
        <v>7</v>
      </c>
      <c r="AI12" s="890"/>
      <c r="AJ12" s="890"/>
      <c r="AK12" s="890"/>
      <c r="AL12" s="889">
        <v>28554</v>
      </c>
      <c r="AM12" s="889">
        <v>53914</v>
      </c>
      <c r="AN12" s="889">
        <v>566048</v>
      </c>
      <c r="AO12" s="106">
        <v>46023</v>
      </c>
      <c r="AP12" s="106">
        <v>46387</v>
      </c>
      <c r="AQ12" s="891" t="s">
        <v>168</v>
      </c>
    </row>
    <row r="13" spans="1:61" s="107" customFormat="1" ht="106.5" customHeight="1">
      <c r="A13" s="100">
        <v>4</v>
      </c>
      <c r="B13" s="521" t="s">
        <v>58</v>
      </c>
      <c r="C13" s="100">
        <v>45</v>
      </c>
      <c r="D13" s="521" t="s">
        <v>161</v>
      </c>
      <c r="E13" s="100">
        <v>4599</v>
      </c>
      <c r="F13" s="521" t="s">
        <v>86</v>
      </c>
      <c r="G13" s="113">
        <v>4599031</v>
      </c>
      <c r="H13" s="325" t="s">
        <v>162</v>
      </c>
      <c r="I13" s="113">
        <v>459903102</v>
      </c>
      <c r="J13" s="325" t="s">
        <v>163</v>
      </c>
      <c r="K13" s="888">
        <v>16</v>
      </c>
      <c r="L13" s="888"/>
      <c r="M13" s="888">
        <v>16</v>
      </c>
      <c r="N13" s="101">
        <v>2024003630035</v>
      </c>
      <c r="O13" s="102" t="s">
        <v>164</v>
      </c>
      <c r="P13" s="521" t="s">
        <v>171</v>
      </c>
      <c r="Q13" s="103">
        <v>87500000</v>
      </c>
      <c r="R13" s="104">
        <f>6000000+6000000+6000000+5000000+7500000+7500000+7500000</f>
        <v>45500000</v>
      </c>
      <c r="S13" s="104"/>
      <c r="T13" s="104"/>
      <c r="U13" s="104">
        <f t="shared" ref="U13:U58" si="1">Q13-R13+S13-T13</f>
        <v>42000000</v>
      </c>
      <c r="V13" s="105" t="s">
        <v>166</v>
      </c>
      <c r="W13" s="671">
        <v>20</v>
      </c>
      <c r="X13" s="672" t="s">
        <v>167</v>
      </c>
      <c r="Y13" s="889">
        <v>293304</v>
      </c>
      <c r="Z13" s="889">
        <v>272744</v>
      </c>
      <c r="AA13" s="889">
        <v>99059</v>
      </c>
      <c r="AB13" s="889">
        <v>36139</v>
      </c>
      <c r="AC13" s="889">
        <v>314186</v>
      </c>
      <c r="AD13" s="889">
        <v>116664</v>
      </c>
      <c r="AE13" s="889">
        <v>3247</v>
      </c>
      <c r="AF13" s="889">
        <v>6804</v>
      </c>
      <c r="AG13" s="890">
        <v>25</v>
      </c>
      <c r="AH13" s="890">
        <v>7</v>
      </c>
      <c r="AI13" s="890"/>
      <c r="AJ13" s="890"/>
      <c r="AK13" s="890"/>
      <c r="AL13" s="889">
        <v>28554</v>
      </c>
      <c r="AM13" s="889">
        <v>53914</v>
      </c>
      <c r="AN13" s="889">
        <v>566048</v>
      </c>
      <c r="AO13" s="106">
        <v>46023</v>
      </c>
      <c r="AP13" s="106">
        <v>46387</v>
      </c>
      <c r="AQ13" s="891" t="s">
        <v>168</v>
      </c>
    </row>
    <row r="14" spans="1:61" s="107" customFormat="1" ht="87" customHeight="1">
      <c r="A14" s="100">
        <v>4</v>
      </c>
      <c r="B14" s="521" t="s">
        <v>58</v>
      </c>
      <c r="C14" s="100">
        <v>45</v>
      </c>
      <c r="D14" s="521" t="s">
        <v>161</v>
      </c>
      <c r="E14" s="100">
        <v>4599</v>
      </c>
      <c r="F14" s="521" t="s">
        <v>86</v>
      </c>
      <c r="G14" s="113">
        <v>4599031</v>
      </c>
      <c r="H14" s="325" t="s">
        <v>162</v>
      </c>
      <c r="I14" s="113">
        <v>459903102</v>
      </c>
      <c r="J14" s="325" t="s">
        <v>163</v>
      </c>
      <c r="K14" s="888">
        <v>16</v>
      </c>
      <c r="L14" s="888"/>
      <c r="M14" s="888">
        <v>16</v>
      </c>
      <c r="N14" s="101">
        <v>2024003630035</v>
      </c>
      <c r="O14" s="102" t="s">
        <v>164</v>
      </c>
      <c r="P14" s="521" t="s">
        <v>172</v>
      </c>
      <c r="Q14" s="103">
        <v>87500000</v>
      </c>
      <c r="R14" s="104">
        <f>4250000+10000000+10000000+10000000+5500000</f>
        <v>39750000</v>
      </c>
      <c r="S14" s="104"/>
      <c r="T14" s="104"/>
      <c r="U14" s="104">
        <f t="shared" si="1"/>
        <v>47750000</v>
      </c>
      <c r="V14" s="105" t="s">
        <v>166</v>
      </c>
      <c r="W14" s="671">
        <v>20</v>
      </c>
      <c r="X14" s="672" t="s">
        <v>167</v>
      </c>
      <c r="Y14" s="889">
        <v>293304</v>
      </c>
      <c r="Z14" s="889">
        <v>272744</v>
      </c>
      <c r="AA14" s="889">
        <v>99059</v>
      </c>
      <c r="AB14" s="889">
        <v>36139</v>
      </c>
      <c r="AC14" s="889">
        <v>314186</v>
      </c>
      <c r="AD14" s="889">
        <v>116664</v>
      </c>
      <c r="AE14" s="889">
        <v>3247</v>
      </c>
      <c r="AF14" s="889">
        <v>6804</v>
      </c>
      <c r="AG14" s="890">
        <v>25</v>
      </c>
      <c r="AH14" s="890">
        <v>7</v>
      </c>
      <c r="AI14" s="890"/>
      <c r="AJ14" s="890"/>
      <c r="AK14" s="890"/>
      <c r="AL14" s="889">
        <v>28554</v>
      </c>
      <c r="AM14" s="889">
        <v>53914</v>
      </c>
      <c r="AN14" s="889">
        <v>566048</v>
      </c>
      <c r="AO14" s="106">
        <v>46023</v>
      </c>
      <c r="AP14" s="106">
        <v>46387</v>
      </c>
      <c r="AQ14" s="891" t="s">
        <v>168</v>
      </c>
    </row>
    <row r="15" spans="1:61" s="107" customFormat="1" ht="121.5" customHeight="1">
      <c r="A15" s="100">
        <v>4</v>
      </c>
      <c r="B15" s="521" t="s">
        <v>58</v>
      </c>
      <c r="C15" s="100">
        <v>45</v>
      </c>
      <c r="D15" s="521" t="s">
        <v>161</v>
      </c>
      <c r="E15" s="100">
        <v>4599</v>
      </c>
      <c r="F15" s="521" t="s">
        <v>86</v>
      </c>
      <c r="G15" s="113">
        <v>4599031</v>
      </c>
      <c r="H15" s="325" t="s">
        <v>162</v>
      </c>
      <c r="I15" s="113">
        <v>459903102</v>
      </c>
      <c r="J15" s="325" t="s">
        <v>163</v>
      </c>
      <c r="K15" s="888">
        <v>16</v>
      </c>
      <c r="L15" s="888"/>
      <c r="M15" s="888">
        <v>16</v>
      </c>
      <c r="N15" s="101">
        <v>2024003630035</v>
      </c>
      <c r="O15" s="102" t="s">
        <v>164</v>
      </c>
      <c r="P15" s="521" t="s">
        <v>173</v>
      </c>
      <c r="Q15" s="103">
        <v>9000000</v>
      </c>
      <c r="R15" s="104">
        <f>1000000+1000000+1000000</f>
        <v>3000000</v>
      </c>
      <c r="S15" s="104"/>
      <c r="T15" s="104"/>
      <c r="U15" s="104">
        <f t="shared" si="1"/>
        <v>6000000</v>
      </c>
      <c r="V15" s="105" t="s">
        <v>166</v>
      </c>
      <c r="W15" s="671">
        <v>20</v>
      </c>
      <c r="X15" s="672" t="s">
        <v>167</v>
      </c>
      <c r="Y15" s="889">
        <v>293304</v>
      </c>
      <c r="Z15" s="889">
        <v>272744</v>
      </c>
      <c r="AA15" s="889">
        <v>99059</v>
      </c>
      <c r="AB15" s="889">
        <v>36139</v>
      </c>
      <c r="AC15" s="889">
        <v>314186</v>
      </c>
      <c r="AD15" s="889">
        <v>116664</v>
      </c>
      <c r="AE15" s="889">
        <v>3247</v>
      </c>
      <c r="AF15" s="889">
        <v>6804</v>
      </c>
      <c r="AG15" s="890">
        <v>25</v>
      </c>
      <c r="AH15" s="890">
        <v>7</v>
      </c>
      <c r="AI15" s="890"/>
      <c r="AJ15" s="890"/>
      <c r="AK15" s="890"/>
      <c r="AL15" s="889">
        <v>28554</v>
      </c>
      <c r="AM15" s="889">
        <v>53914</v>
      </c>
      <c r="AN15" s="889">
        <v>566048</v>
      </c>
      <c r="AO15" s="106">
        <v>46023</v>
      </c>
      <c r="AP15" s="106">
        <v>46387</v>
      </c>
      <c r="AQ15" s="891" t="s">
        <v>168</v>
      </c>
    </row>
    <row r="16" spans="1:61" s="107" customFormat="1" ht="121.5" customHeight="1">
      <c r="A16" s="100">
        <v>4</v>
      </c>
      <c r="B16" s="521" t="s">
        <v>58</v>
      </c>
      <c r="C16" s="100">
        <v>45</v>
      </c>
      <c r="D16" s="521" t="s">
        <v>161</v>
      </c>
      <c r="E16" s="100">
        <v>4599</v>
      </c>
      <c r="F16" s="521" t="s">
        <v>86</v>
      </c>
      <c r="G16" s="113">
        <v>4599031</v>
      </c>
      <c r="H16" s="325" t="s">
        <v>162</v>
      </c>
      <c r="I16" s="113">
        <v>459903102</v>
      </c>
      <c r="J16" s="325" t="s">
        <v>163</v>
      </c>
      <c r="K16" s="888">
        <v>16</v>
      </c>
      <c r="L16" s="888"/>
      <c r="M16" s="888">
        <v>16</v>
      </c>
      <c r="N16" s="101">
        <v>2024003630035</v>
      </c>
      <c r="O16" s="102" t="s">
        <v>164</v>
      </c>
      <c r="P16" s="521" t="s">
        <v>174</v>
      </c>
      <c r="Q16" s="103">
        <v>87000000</v>
      </c>
      <c r="R16" s="104">
        <f>4250000+10500000+10800000+9800000</f>
        <v>35350000</v>
      </c>
      <c r="S16" s="104"/>
      <c r="T16" s="104"/>
      <c r="U16" s="104">
        <f t="shared" si="1"/>
        <v>51650000</v>
      </c>
      <c r="V16" s="105" t="s">
        <v>166</v>
      </c>
      <c r="W16" s="671">
        <v>20</v>
      </c>
      <c r="X16" s="672" t="s">
        <v>167</v>
      </c>
      <c r="Y16" s="889">
        <v>293304</v>
      </c>
      <c r="Z16" s="889">
        <v>272744</v>
      </c>
      <c r="AA16" s="889">
        <v>99059</v>
      </c>
      <c r="AB16" s="889">
        <v>36139</v>
      </c>
      <c r="AC16" s="889">
        <v>314186</v>
      </c>
      <c r="AD16" s="889">
        <v>116664</v>
      </c>
      <c r="AE16" s="889">
        <v>3247</v>
      </c>
      <c r="AF16" s="889">
        <v>6804</v>
      </c>
      <c r="AG16" s="890">
        <v>25</v>
      </c>
      <c r="AH16" s="890">
        <v>7</v>
      </c>
      <c r="AI16" s="890"/>
      <c r="AJ16" s="890"/>
      <c r="AK16" s="890"/>
      <c r="AL16" s="889">
        <v>28554</v>
      </c>
      <c r="AM16" s="889">
        <v>53914</v>
      </c>
      <c r="AN16" s="889">
        <v>566048</v>
      </c>
      <c r="AO16" s="106">
        <v>46023</v>
      </c>
      <c r="AP16" s="106">
        <v>46387</v>
      </c>
      <c r="AQ16" s="891" t="s">
        <v>168</v>
      </c>
    </row>
    <row r="17" spans="1:43" s="107" customFormat="1" ht="81" customHeight="1">
      <c r="A17" s="100">
        <v>4</v>
      </c>
      <c r="B17" s="521" t="s">
        <v>58</v>
      </c>
      <c r="C17" s="100">
        <v>45</v>
      </c>
      <c r="D17" s="521" t="s">
        <v>161</v>
      </c>
      <c r="E17" s="100">
        <v>4599</v>
      </c>
      <c r="F17" s="521" t="s">
        <v>86</v>
      </c>
      <c r="G17" s="100">
        <v>4599031</v>
      </c>
      <c r="H17" s="521" t="s">
        <v>162</v>
      </c>
      <c r="I17" s="100">
        <v>459903105</v>
      </c>
      <c r="J17" s="521" t="s">
        <v>175</v>
      </c>
      <c r="K17" s="108">
        <v>4</v>
      </c>
      <c r="L17" s="108"/>
      <c r="M17" s="108">
        <f>K17+L17</f>
        <v>4</v>
      </c>
      <c r="N17" s="101">
        <v>2024003630119</v>
      </c>
      <c r="O17" s="102" t="s">
        <v>176</v>
      </c>
      <c r="P17" s="521" t="s">
        <v>177</v>
      </c>
      <c r="Q17" s="103">
        <v>75000000</v>
      </c>
      <c r="R17" s="104">
        <f>16000000</f>
        <v>16000000</v>
      </c>
      <c r="S17" s="104"/>
      <c r="T17" s="104"/>
      <c r="U17" s="104">
        <f t="shared" si="1"/>
        <v>59000000</v>
      </c>
      <c r="V17" s="105" t="s">
        <v>178</v>
      </c>
      <c r="W17" s="671">
        <v>20</v>
      </c>
      <c r="X17" s="672" t="s">
        <v>167</v>
      </c>
      <c r="Y17" s="673">
        <v>439956</v>
      </c>
      <c r="Z17" s="674">
        <v>409116</v>
      </c>
      <c r="AA17" s="109">
        <v>148588.5</v>
      </c>
      <c r="AB17" s="109">
        <v>54208.5</v>
      </c>
      <c r="AC17" s="109">
        <v>471279</v>
      </c>
      <c r="AD17" s="109">
        <v>174996</v>
      </c>
      <c r="AE17" s="109">
        <v>4870.5</v>
      </c>
      <c r="AF17" s="109">
        <v>10206</v>
      </c>
      <c r="AG17" s="105">
        <v>37.5</v>
      </c>
      <c r="AH17" s="105">
        <v>10.5</v>
      </c>
      <c r="AI17" s="110"/>
      <c r="AJ17" s="110"/>
      <c r="AK17" s="110"/>
      <c r="AL17" s="105">
        <v>42831</v>
      </c>
      <c r="AM17" s="105">
        <v>80871</v>
      </c>
      <c r="AN17" s="109">
        <v>849072</v>
      </c>
      <c r="AO17" s="106">
        <v>46023</v>
      </c>
      <c r="AP17" s="106">
        <v>46387</v>
      </c>
      <c r="AQ17" s="891" t="s">
        <v>168</v>
      </c>
    </row>
    <row r="18" spans="1:43" s="107" customFormat="1" ht="81" customHeight="1">
      <c r="A18" s="100">
        <v>4</v>
      </c>
      <c r="B18" s="521" t="s">
        <v>58</v>
      </c>
      <c r="C18" s="100">
        <v>45</v>
      </c>
      <c r="D18" s="521" t="s">
        <v>161</v>
      </c>
      <c r="E18" s="100">
        <v>4599</v>
      </c>
      <c r="F18" s="521" t="s">
        <v>86</v>
      </c>
      <c r="G18" s="100">
        <v>4599031</v>
      </c>
      <c r="H18" s="521" t="s">
        <v>162</v>
      </c>
      <c r="I18" s="100">
        <v>459903105</v>
      </c>
      <c r="J18" s="521" t="s">
        <v>175</v>
      </c>
      <c r="K18" s="108">
        <v>4</v>
      </c>
      <c r="L18" s="108"/>
      <c r="M18" s="108">
        <f t="shared" ref="M18:M21" si="2">K18+L18</f>
        <v>4</v>
      </c>
      <c r="N18" s="101">
        <v>2024003630119</v>
      </c>
      <c r="O18" s="102" t="s">
        <v>176</v>
      </c>
      <c r="P18" s="521" t="s">
        <v>179</v>
      </c>
      <c r="Q18" s="103">
        <v>24000000</v>
      </c>
      <c r="R18" s="111"/>
      <c r="S18" s="111"/>
      <c r="T18" s="111"/>
      <c r="U18" s="104">
        <f t="shared" si="1"/>
        <v>24000000</v>
      </c>
      <c r="V18" s="105" t="s">
        <v>178</v>
      </c>
      <c r="W18" s="671">
        <v>20</v>
      </c>
      <c r="X18" s="672" t="s">
        <v>167</v>
      </c>
      <c r="Y18" s="673">
        <v>439956</v>
      </c>
      <c r="Z18" s="674">
        <v>409116</v>
      </c>
      <c r="AA18" s="109">
        <v>148588.5</v>
      </c>
      <c r="AB18" s="109">
        <v>54208.5</v>
      </c>
      <c r="AC18" s="109">
        <v>471279</v>
      </c>
      <c r="AD18" s="109">
        <v>174996</v>
      </c>
      <c r="AE18" s="109">
        <v>4870.5</v>
      </c>
      <c r="AF18" s="109">
        <v>10206</v>
      </c>
      <c r="AG18" s="105">
        <v>37.5</v>
      </c>
      <c r="AH18" s="105">
        <v>10.5</v>
      </c>
      <c r="AI18" s="110"/>
      <c r="AJ18" s="110"/>
      <c r="AK18" s="110"/>
      <c r="AL18" s="105">
        <v>42831</v>
      </c>
      <c r="AM18" s="105">
        <v>80871</v>
      </c>
      <c r="AN18" s="109">
        <v>849072</v>
      </c>
      <c r="AO18" s="106">
        <v>46023</v>
      </c>
      <c r="AP18" s="106">
        <v>46387</v>
      </c>
      <c r="AQ18" s="891" t="s">
        <v>168</v>
      </c>
    </row>
    <row r="19" spans="1:43" s="107" customFormat="1" ht="76.5">
      <c r="A19" s="100">
        <v>4</v>
      </c>
      <c r="B19" s="521" t="s">
        <v>58</v>
      </c>
      <c r="C19" s="100">
        <v>45</v>
      </c>
      <c r="D19" s="521" t="s">
        <v>161</v>
      </c>
      <c r="E19" s="100">
        <v>4599</v>
      </c>
      <c r="F19" s="521" t="s">
        <v>86</v>
      </c>
      <c r="G19" s="100">
        <v>4599031</v>
      </c>
      <c r="H19" s="521" t="s">
        <v>162</v>
      </c>
      <c r="I19" s="100">
        <v>459903105</v>
      </c>
      <c r="J19" s="521" t="s">
        <v>175</v>
      </c>
      <c r="K19" s="108">
        <v>4</v>
      </c>
      <c r="L19" s="108"/>
      <c r="M19" s="108">
        <f t="shared" si="2"/>
        <v>4</v>
      </c>
      <c r="N19" s="101">
        <v>2024003630119</v>
      </c>
      <c r="O19" s="102" t="s">
        <v>176</v>
      </c>
      <c r="P19" s="521" t="s">
        <v>180</v>
      </c>
      <c r="Q19" s="103">
        <v>24000000</v>
      </c>
      <c r="R19" s="111"/>
      <c r="S19" s="111"/>
      <c r="T19" s="111"/>
      <c r="U19" s="104">
        <f t="shared" si="1"/>
        <v>24000000</v>
      </c>
      <c r="V19" s="105" t="s">
        <v>178</v>
      </c>
      <c r="W19" s="671">
        <v>20</v>
      </c>
      <c r="X19" s="672" t="s">
        <v>167</v>
      </c>
      <c r="Y19" s="673">
        <v>439956</v>
      </c>
      <c r="Z19" s="674">
        <v>409116</v>
      </c>
      <c r="AA19" s="109">
        <v>148588.5</v>
      </c>
      <c r="AB19" s="109">
        <v>54208.5</v>
      </c>
      <c r="AC19" s="109">
        <v>471279</v>
      </c>
      <c r="AD19" s="109">
        <v>174996</v>
      </c>
      <c r="AE19" s="109">
        <v>4870.5</v>
      </c>
      <c r="AF19" s="109">
        <v>10206</v>
      </c>
      <c r="AG19" s="105">
        <v>37.5</v>
      </c>
      <c r="AH19" s="105">
        <v>10.5</v>
      </c>
      <c r="AI19" s="110"/>
      <c r="AJ19" s="110"/>
      <c r="AK19" s="110"/>
      <c r="AL19" s="105">
        <v>42831</v>
      </c>
      <c r="AM19" s="105">
        <v>80871</v>
      </c>
      <c r="AN19" s="109">
        <v>849072</v>
      </c>
      <c r="AO19" s="106">
        <v>46023</v>
      </c>
      <c r="AP19" s="106">
        <v>46387</v>
      </c>
      <c r="AQ19" s="891" t="s">
        <v>168</v>
      </c>
    </row>
    <row r="20" spans="1:43" s="107" customFormat="1" ht="76.5">
      <c r="A20" s="100">
        <v>4</v>
      </c>
      <c r="B20" s="521" t="s">
        <v>58</v>
      </c>
      <c r="C20" s="100">
        <v>45</v>
      </c>
      <c r="D20" s="521" t="s">
        <v>161</v>
      </c>
      <c r="E20" s="100">
        <v>4599</v>
      </c>
      <c r="F20" s="521" t="s">
        <v>86</v>
      </c>
      <c r="G20" s="100">
        <v>4599031</v>
      </c>
      <c r="H20" s="521" t="s">
        <v>162</v>
      </c>
      <c r="I20" s="100">
        <v>459903105</v>
      </c>
      <c r="J20" s="521" t="s">
        <v>175</v>
      </c>
      <c r="K20" s="108">
        <v>4</v>
      </c>
      <c r="L20" s="108"/>
      <c r="M20" s="108">
        <f t="shared" si="2"/>
        <v>4</v>
      </c>
      <c r="N20" s="101">
        <v>2024003630119</v>
      </c>
      <c r="O20" s="102" t="s">
        <v>176</v>
      </c>
      <c r="P20" s="521" t="s">
        <v>181</v>
      </c>
      <c r="Q20" s="103">
        <v>40000000</v>
      </c>
      <c r="R20" s="111"/>
      <c r="S20" s="111"/>
      <c r="T20" s="111"/>
      <c r="U20" s="104">
        <f t="shared" si="1"/>
        <v>40000000</v>
      </c>
      <c r="V20" s="105" t="s">
        <v>178</v>
      </c>
      <c r="W20" s="671">
        <v>20</v>
      </c>
      <c r="X20" s="672" t="s">
        <v>167</v>
      </c>
      <c r="Y20" s="673">
        <v>439956</v>
      </c>
      <c r="Z20" s="674">
        <v>409116</v>
      </c>
      <c r="AA20" s="109">
        <v>148588.5</v>
      </c>
      <c r="AB20" s="109">
        <v>54208.5</v>
      </c>
      <c r="AC20" s="109">
        <v>471279</v>
      </c>
      <c r="AD20" s="109">
        <v>174996</v>
      </c>
      <c r="AE20" s="109">
        <v>4870.5</v>
      </c>
      <c r="AF20" s="109">
        <v>10206</v>
      </c>
      <c r="AG20" s="105">
        <v>37.5</v>
      </c>
      <c r="AH20" s="105">
        <v>10.5</v>
      </c>
      <c r="AI20" s="110"/>
      <c r="AJ20" s="110"/>
      <c r="AK20" s="110"/>
      <c r="AL20" s="105">
        <v>42831</v>
      </c>
      <c r="AM20" s="105">
        <v>80871</v>
      </c>
      <c r="AN20" s="109">
        <v>849072</v>
      </c>
      <c r="AO20" s="106">
        <v>46023</v>
      </c>
      <c r="AP20" s="106">
        <v>46387</v>
      </c>
      <c r="AQ20" s="891" t="s">
        <v>168</v>
      </c>
    </row>
    <row r="21" spans="1:43" s="107" customFormat="1" ht="76.5">
      <c r="A21" s="100">
        <v>4</v>
      </c>
      <c r="B21" s="521" t="s">
        <v>58</v>
      </c>
      <c r="C21" s="100">
        <v>45</v>
      </c>
      <c r="D21" s="521" t="s">
        <v>161</v>
      </c>
      <c r="E21" s="100">
        <v>4599</v>
      </c>
      <c r="F21" s="521" t="s">
        <v>86</v>
      </c>
      <c r="G21" s="100">
        <v>4599031</v>
      </c>
      <c r="H21" s="521" t="s">
        <v>162</v>
      </c>
      <c r="I21" s="100">
        <v>459903105</v>
      </c>
      <c r="J21" s="521" t="s">
        <v>175</v>
      </c>
      <c r="K21" s="108">
        <v>4</v>
      </c>
      <c r="L21" s="108"/>
      <c r="M21" s="108">
        <f t="shared" si="2"/>
        <v>4</v>
      </c>
      <c r="N21" s="101">
        <v>2024003630119</v>
      </c>
      <c r="O21" s="102" t="s">
        <v>176</v>
      </c>
      <c r="P21" s="521" t="s">
        <v>182</v>
      </c>
      <c r="Q21" s="103">
        <v>35000000</v>
      </c>
      <c r="R21" s="111"/>
      <c r="S21" s="111"/>
      <c r="T21" s="111"/>
      <c r="U21" s="104">
        <f t="shared" si="1"/>
        <v>35000000</v>
      </c>
      <c r="V21" s="105" t="s">
        <v>178</v>
      </c>
      <c r="W21" s="671">
        <v>20</v>
      </c>
      <c r="X21" s="672" t="s">
        <v>167</v>
      </c>
      <c r="Y21" s="673">
        <v>439956</v>
      </c>
      <c r="Z21" s="674">
        <v>409116</v>
      </c>
      <c r="AA21" s="109">
        <v>148588.5</v>
      </c>
      <c r="AB21" s="109">
        <v>54208.5</v>
      </c>
      <c r="AC21" s="109">
        <v>471279</v>
      </c>
      <c r="AD21" s="109">
        <v>174996</v>
      </c>
      <c r="AE21" s="109">
        <v>4870.5</v>
      </c>
      <c r="AF21" s="109">
        <v>10206</v>
      </c>
      <c r="AG21" s="105">
        <v>37.5</v>
      </c>
      <c r="AH21" s="105">
        <v>10.5</v>
      </c>
      <c r="AI21" s="110"/>
      <c r="AJ21" s="110"/>
      <c r="AK21" s="110"/>
      <c r="AL21" s="105">
        <v>42831</v>
      </c>
      <c r="AM21" s="105">
        <v>80871</v>
      </c>
      <c r="AN21" s="109">
        <v>849072</v>
      </c>
      <c r="AO21" s="106">
        <v>46023</v>
      </c>
      <c r="AP21" s="106">
        <v>46387</v>
      </c>
      <c r="AQ21" s="891" t="s">
        <v>168</v>
      </c>
    </row>
    <row r="22" spans="1:43" s="107" customFormat="1" ht="76.5">
      <c r="A22" s="100">
        <v>4</v>
      </c>
      <c r="B22" s="521" t="s">
        <v>58</v>
      </c>
      <c r="C22" s="100">
        <v>45</v>
      </c>
      <c r="D22" s="521" t="s">
        <v>161</v>
      </c>
      <c r="E22" s="892">
        <v>4502</v>
      </c>
      <c r="F22" s="893" t="s">
        <v>97</v>
      </c>
      <c r="G22" s="893">
        <v>4502001</v>
      </c>
      <c r="H22" s="892" t="s">
        <v>183</v>
      </c>
      <c r="I22" s="893">
        <v>450200100</v>
      </c>
      <c r="J22" s="892" t="s">
        <v>184</v>
      </c>
      <c r="K22" s="108">
        <v>1</v>
      </c>
      <c r="L22" s="108"/>
      <c r="M22" s="108">
        <f>K22+L22</f>
        <v>1</v>
      </c>
      <c r="N22" s="101">
        <v>2024003630072</v>
      </c>
      <c r="O22" s="102" t="s">
        <v>185</v>
      </c>
      <c r="P22" s="521" t="s">
        <v>186</v>
      </c>
      <c r="Q22" s="103">
        <v>40000000</v>
      </c>
      <c r="R22" s="111"/>
      <c r="S22" s="111"/>
      <c r="T22" s="111"/>
      <c r="U22" s="104">
        <f t="shared" si="1"/>
        <v>40000000</v>
      </c>
      <c r="V22" s="100" t="s">
        <v>187</v>
      </c>
      <c r="W22" s="671">
        <v>20</v>
      </c>
      <c r="X22" s="672" t="s">
        <v>167</v>
      </c>
      <c r="Y22" s="673">
        <v>439956</v>
      </c>
      <c r="Z22" s="674">
        <v>409116</v>
      </c>
      <c r="AA22" s="109">
        <v>148588.5</v>
      </c>
      <c r="AB22" s="109">
        <v>54208.5</v>
      </c>
      <c r="AC22" s="109">
        <v>471279</v>
      </c>
      <c r="AD22" s="109">
        <v>174996</v>
      </c>
      <c r="AE22" s="109">
        <v>4870.5</v>
      </c>
      <c r="AF22" s="109">
        <v>10206</v>
      </c>
      <c r="AG22" s="105">
        <v>37.5</v>
      </c>
      <c r="AH22" s="105">
        <v>10.5</v>
      </c>
      <c r="AI22" s="110"/>
      <c r="AJ22" s="110"/>
      <c r="AK22" s="110"/>
      <c r="AL22" s="105">
        <v>42831</v>
      </c>
      <c r="AM22" s="105">
        <v>80871</v>
      </c>
      <c r="AN22" s="109">
        <v>849072</v>
      </c>
      <c r="AO22" s="106">
        <v>46023</v>
      </c>
      <c r="AP22" s="106">
        <v>46387</v>
      </c>
      <c r="AQ22" s="891" t="s">
        <v>168</v>
      </c>
    </row>
    <row r="23" spans="1:43" s="107" customFormat="1" ht="76.5">
      <c r="A23" s="100">
        <v>4</v>
      </c>
      <c r="B23" s="521" t="s">
        <v>58</v>
      </c>
      <c r="C23" s="100">
        <v>45</v>
      </c>
      <c r="D23" s="521" t="s">
        <v>161</v>
      </c>
      <c r="E23" s="892">
        <v>4502</v>
      </c>
      <c r="F23" s="893" t="s">
        <v>97</v>
      </c>
      <c r="G23" s="893">
        <v>4502001</v>
      </c>
      <c r="H23" s="892" t="s">
        <v>183</v>
      </c>
      <c r="I23" s="893">
        <v>450200100</v>
      </c>
      <c r="J23" s="892" t="s">
        <v>184</v>
      </c>
      <c r="K23" s="108">
        <v>1</v>
      </c>
      <c r="L23" s="108"/>
      <c r="M23" s="108">
        <f t="shared" ref="M23:M24" si="3">K23+L23</f>
        <v>1</v>
      </c>
      <c r="N23" s="101">
        <v>2024003630072</v>
      </c>
      <c r="O23" s="102" t="s">
        <v>185</v>
      </c>
      <c r="P23" s="521" t="s">
        <v>188</v>
      </c>
      <c r="Q23" s="103">
        <v>125000000</v>
      </c>
      <c r="R23" s="111"/>
      <c r="S23" s="111"/>
      <c r="T23" s="111"/>
      <c r="U23" s="104">
        <f t="shared" si="1"/>
        <v>125000000</v>
      </c>
      <c r="V23" s="100" t="s">
        <v>189</v>
      </c>
      <c r="W23" s="671">
        <v>20</v>
      </c>
      <c r="X23" s="672" t="s">
        <v>167</v>
      </c>
      <c r="Y23" s="673">
        <v>439956</v>
      </c>
      <c r="Z23" s="674">
        <v>409116</v>
      </c>
      <c r="AA23" s="109">
        <v>148588.5</v>
      </c>
      <c r="AB23" s="109">
        <v>54208.5</v>
      </c>
      <c r="AC23" s="109">
        <v>471279</v>
      </c>
      <c r="AD23" s="109">
        <v>174996</v>
      </c>
      <c r="AE23" s="109">
        <v>4870.5</v>
      </c>
      <c r="AF23" s="109">
        <v>10206</v>
      </c>
      <c r="AG23" s="105">
        <v>37.5</v>
      </c>
      <c r="AH23" s="105">
        <v>10.5</v>
      </c>
      <c r="AI23" s="110"/>
      <c r="AJ23" s="110"/>
      <c r="AK23" s="110"/>
      <c r="AL23" s="105">
        <v>42831</v>
      </c>
      <c r="AM23" s="105">
        <v>80871</v>
      </c>
      <c r="AN23" s="109">
        <v>849072</v>
      </c>
      <c r="AO23" s="106">
        <v>46023</v>
      </c>
      <c r="AP23" s="106">
        <v>46387</v>
      </c>
      <c r="AQ23" s="891" t="s">
        <v>168</v>
      </c>
    </row>
    <row r="24" spans="1:43" s="107" customFormat="1" ht="76.5">
      <c r="A24" s="100">
        <v>4</v>
      </c>
      <c r="B24" s="521" t="s">
        <v>58</v>
      </c>
      <c r="C24" s="100">
        <v>45</v>
      </c>
      <c r="D24" s="521" t="s">
        <v>161</v>
      </c>
      <c r="E24" s="892">
        <v>4502</v>
      </c>
      <c r="F24" s="893" t="s">
        <v>97</v>
      </c>
      <c r="G24" s="893">
        <v>4502001</v>
      </c>
      <c r="H24" s="892" t="s">
        <v>183</v>
      </c>
      <c r="I24" s="893">
        <v>450200100</v>
      </c>
      <c r="J24" s="892" t="s">
        <v>184</v>
      </c>
      <c r="K24" s="108">
        <v>1</v>
      </c>
      <c r="L24" s="108"/>
      <c r="M24" s="108">
        <f t="shared" si="3"/>
        <v>1</v>
      </c>
      <c r="N24" s="101">
        <v>2024003630072</v>
      </c>
      <c r="O24" s="102" t="s">
        <v>185</v>
      </c>
      <c r="P24" s="521" t="s">
        <v>190</v>
      </c>
      <c r="Q24" s="103">
        <v>20000000</v>
      </c>
      <c r="R24" s="111">
        <f>20000000</f>
        <v>20000000</v>
      </c>
      <c r="S24" s="111"/>
      <c r="T24" s="111"/>
      <c r="U24" s="104">
        <f t="shared" si="1"/>
        <v>0</v>
      </c>
      <c r="V24" s="100" t="s">
        <v>187</v>
      </c>
      <c r="W24" s="671">
        <v>20</v>
      </c>
      <c r="X24" s="672" t="s">
        <v>167</v>
      </c>
      <c r="Y24" s="673">
        <v>439956</v>
      </c>
      <c r="Z24" s="674">
        <v>409116</v>
      </c>
      <c r="AA24" s="109">
        <v>148588.5</v>
      </c>
      <c r="AB24" s="109">
        <v>54208.5</v>
      </c>
      <c r="AC24" s="109">
        <v>471279</v>
      </c>
      <c r="AD24" s="109">
        <v>174996</v>
      </c>
      <c r="AE24" s="109">
        <v>4870.5</v>
      </c>
      <c r="AF24" s="109">
        <v>10206</v>
      </c>
      <c r="AG24" s="105">
        <v>37.5</v>
      </c>
      <c r="AH24" s="105">
        <v>10.5</v>
      </c>
      <c r="AI24" s="110"/>
      <c r="AJ24" s="110"/>
      <c r="AK24" s="110"/>
      <c r="AL24" s="105">
        <v>42831</v>
      </c>
      <c r="AM24" s="105">
        <v>80871</v>
      </c>
      <c r="AN24" s="109">
        <v>849072</v>
      </c>
      <c r="AO24" s="106">
        <v>46023</v>
      </c>
      <c r="AP24" s="106">
        <v>46387</v>
      </c>
      <c r="AQ24" s="891" t="s">
        <v>168</v>
      </c>
    </row>
    <row r="25" spans="1:43" s="675" customFormat="1" ht="76.5">
      <c r="A25" s="100">
        <v>4</v>
      </c>
      <c r="B25" s="521" t="s">
        <v>58</v>
      </c>
      <c r="C25" s="100">
        <v>45</v>
      </c>
      <c r="D25" s="521" t="s">
        <v>161</v>
      </c>
      <c r="E25" s="892">
        <v>4502</v>
      </c>
      <c r="F25" s="893" t="s">
        <v>97</v>
      </c>
      <c r="G25" s="893">
        <v>4502001</v>
      </c>
      <c r="H25" s="892" t="s">
        <v>183</v>
      </c>
      <c r="I25" s="893">
        <v>450200100</v>
      </c>
      <c r="J25" s="892" t="s">
        <v>184</v>
      </c>
      <c r="K25" s="108">
        <v>1</v>
      </c>
      <c r="L25" s="108"/>
      <c r="M25" s="108">
        <f>K25+L25</f>
        <v>1</v>
      </c>
      <c r="N25" s="101">
        <v>2024003630072</v>
      </c>
      <c r="O25" s="102" t="s">
        <v>185</v>
      </c>
      <c r="P25" s="521" t="s">
        <v>191</v>
      </c>
      <c r="Q25" s="103">
        <v>15000000</v>
      </c>
      <c r="R25" s="670"/>
      <c r="S25" s="670"/>
      <c r="T25" s="670"/>
      <c r="U25" s="104">
        <f t="shared" si="1"/>
        <v>15000000</v>
      </c>
      <c r="V25" s="100" t="s">
        <v>192</v>
      </c>
      <c r="W25" s="671">
        <v>20</v>
      </c>
      <c r="X25" s="672" t="s">
        <v>167</v>
      </c>
      <c r="Y25" s="673">
        <v>439956</v>
      </c>
      <c r="Z25" s="674">
        <v>409116</v>
      </c>
      <c r="AA25" s="109">
        <v>148588.5</v>
      </c>
      <c r="AB25" s="109">
        <v>54208.5</v>
      </c>
      <c r="AC25" s="109">
        <v>471279</v>
      </c>
      <c r="AD25" s="109">
        <v>174996</v>
      </c>
      <c r="AE25" s="109">
        <v>4870.5</v>
      </c>
      <c r="AF25" s="109">
        <v>10206</v>
      </c>
      <c r="AG25" s="105">
        <v>37.5</v>
      </c>
      <c r="AH25" s="105">
        <v>10.5</v>
      </c>
      <c r="AI25" s="110"/>
      <c r="AJ25" s="110"/>
      <c r="AK25" s="110"/>
      <c r="AL25" s="105">
        <v>42831</v>
      </c>
      <c r="AM25" s="105">
        <v>80871</v>
      </c>
      <c r="AN25" s="109">
        <v>849072</v>
      </c>
      <c r="AO25" s="106">
        <v>46023</v>
      </c>
      <c r="AP25" s="106">
        <v>46387</v>
      </c>
      <c r="AQ25" s="891" t="s">
        <v>168</v>
      </c>
    </row>
    <row r="26" spans="1:43" s="675" customFormat="1" ht="76.5">
      <c r="A26" s="100">
        <v>4</v>
      </c>
      <c r="B26" s="521" t="s">
        <v>58</v>
      </c>
      <c r="C26" s="100">
        <v>45</v>
      </c>
      <c r="D26" s="521" t="s">
        <v>161</v>
      </c>
      <c r="E26" s="112">
        <v>4599</v>
      </c>
      <c r="F26" s="113" t="s">
        <v>86</v>
      </c>
      <c r="G26" s="326">
        <v>4599025</v>
      </c>
      <c r="H26" s="326" t="s">
        <v>193</v>
      </c>
      <c r="I26" s="112">
        <v>459902500</v>
      </c>
      <c r="J26" s="112" t="s">
        <v>194</v>
      </c>
      <c r="K26" s="108">
        <v>2</v>
      </c>
      <c r="L26" s="108"/>
      <c r="M26" s="108">
        <f>K26+L26</f>
        <v>2</v>
      </c>
      <c r="N26" s="101">
        <v>2024003630066</v>
      </c>
      <c r="O26" s="521" t="s">
        <v>195</v>
      </c>
      <c r="P26" s="521" t="s">
        <v>196</v>
      </c>
      <c r="Q26" s="103">
        <v>70000000</v>
      </c>
      <c r="R26" s="670"/>
      <c r="S26" s="670"/>
      <c r="T26" s="670"/>
      <c r="U26" s="104">
        <f t="shared" si="1"/>
        <v>70000000</v>
      </c>
      <c r="V26" s="100" t="s">
        <v>197</v>
      </c>
      <c r="W26" s="671">
        <v>20</v>
      </c>
      <c r="X26" s="672" t="s">
        <v>167</v>
      </c>
      <c r="Y26" s="673">
        <v>439956</v>
      </c>
      <c r="Z26" s="674">
        <v>409116</v>
      </c>
      <c r="AA26" s="109">
        <v>148588.5</v>
      </c>
      <c r="AB26" s="109">
        <v>54208.5</v>
      </c>
      <c r="AC26" s="109">
        <v>471279</v>
      </c>
      <c r="AD26" s="109">
        <v>174996</v>
      </c>
      <c r="AE26" s="109">
        <v>4870.5</v>
      </c>
      <c r="AF26" s="109">
        <v>10206</v>
      </c>
      <c r="AG26" s="105">
        <v>37.5</v>
      </c>
      <c r="AH26" s="105">
        <v>10.5</v>
      </c>
      <c r="AI26" s="110"/>
      <c r="AJ26" s="110"/>
      <c r="AK26" s="110"/>
      <c r="AL26" s="105">
        <v>42831</v>
      </c>
      <c r="AM26" s="105">
        <v>80871</v>
      </c>
      <c r="AN26" s="109">
        <v>849072</v>
      </c>
      <c r="AO26" s="106">
        <v>46023</v>
      </c>
      <c r="AP26" s="106">
        <v>46387</v>
      </c>
      <c r="AQ26" s="891" t="s">
        <v>168</v>
      </c>
    </row>
    <row r="27" spans="1:43" s="675" customFormat="1" ht="76.5">
      <c r="A27" s="100">
        <v>4</v>
      </c>
      <c r="B27" s="521" t="s">
        <v>58</v>
      </c>
      <c r="C27" s="100">
        <v>45</v>
      </c>
      <c r="D27" s="521" t="s">
        <v>161</v>
      </c>
      <c r="E27" s="112">
        <v>4599</v>
      </c>
      <c r="F27" s="113" t="s">
        <v>86</v>
      </c>
      <c r="G27" s="326">
        <v>4599025</v>
      </c>
      <c r="H27" s="326" t="s">
        <v>193</v>
      </c>
      <c r="I27" s="112">
        <v>459902500</v>
      </c>
      <c r="J27" s="112" t="s">
        <v>194</v>
      </c>
      <c r="K27" s="108">
        <v>2</v>
      </c>
      <c r="L27" s="108"/>
      <c r="M27" s="108">
        <f t="shared" ref="M27:M28" si="4">K27+L27</f>
        <v>2</v>
      </c>
      <c r="N27" s="101">
        <v>2024003630066</v>
      </c>
      <c r="O27" s="521" t="s">
        <v>195</v>
      </c>
      <c r="P27" s="521" t="s">
        <v>198</v>
      </c>
      <c r="Q27" s="103">
        <v>120000000</v>
      </c>
      <c r="R27" s="670">
        <f>76500000+3700000+3700000</f>
        <v>83900000</v>
      </c>
      <c r="S27" s="670"/>
      <c r="T27" s="670"/>
      <c r="U27" s="104">
        <f t="shared" si="1"/>
        <v>36100000</v>
      </c>
      <c r="V27" s="100" t="s">
        <v>199</v>
      </c>
      <c r="W27" s="671">
        <v>20</v>
      </c>
      <c r="X27" s="672" t="s">
        <v>167</v>
      </c>
      <c r="Y27" s="673">
        <v>439956</v>
      </c>
      <c r="Z27" s="674">
        <v>409116</v>
      </c>
      <c r="AA27" s="109">
        <v>148588.5</v>
      </c>
      <c r="AB27" s="109">
        <v>54208.5</v>
      </c>
      <c r="AC27" s="109">
        <v>471279</v>
      </c>
      <c r="AD27" s="109">
        <v>174996</v>
      </c>
      <c r="AE27" s="109">
        <v>4870.5</v>
      </c>
      <c r="AF27" s="109">
        <v>10206</v>
      </c>
      <c r="AG27" s="105">
        <v>37.5</v>
      </c>
      <c r="AH27" s="105">
        <v>10.5</v>
      </c>
      <c r="AI27" s="110"/>
      <c r="AJ27" s="110"/>
      <c r="AK27" s="110"/>
      <c r="AL27" s="105">
        <v>42831</v>
      </c>
      <c r="AM27" s="105">
        <v>80871</v>
      </c>
      <c r="AN27" s="109">
        <v>849072</v>
      </c>
      <c r="AO27" s="106">
        <v>46023</v>
      </c>
      <c r="AP27" s="106">
        <v>46387</v>
      </c>
      <c r="AQ27" s="891" t="s">
        <v>168</v>
      </c>
    </row>
    <row r="28" spans="1:43" s="675" customFormat="1" ht="76.5">
      <c r="A28" s="100">
        <v>4</v>
      </c>
      <c r="B28" s="521" t="s">
        <v>58</v>
      </c>
      <c r="C28" s="100">
        <v>45</v>
      </c>
      <c r="D28" s="521" t="s">
        <v>161</v>
      </c>
      <c r="E28" s="112">
        <v>4599</v>
      </c>
      <c r="F28" s="113" t="s">
        <v>86</v>
      </c>
      <c r="G28" s="326">
        <v>4599025</v>
      </c>
      <c r="H28" s="326" t="s">
        <v>193</v>
      </c>
      <c r="I28" s="112">
        <v>459902500</v>
      </c>
      <c r="J28" s="112" t="s">
        <v>194</v>
      </c>
      <c r="K28" s="108">
        <v>2</v>
      </c>
      <c r="L28" s="108"/>
      <c r="M28" s="108">
        <f t="shared" si="4"/>
        <v>2</v>
      </c>
      <c r="N28" s="101">
        <v>2024003630066</v>
      </c>
      <c r="O28" s="521" t="s">
        <v>195</v>
      </c>
      <c r="P28" s="521" t="s">
        <v>200</v>
      </c>
      <c r="Q28" s="103">
        <v>60000000</v>
      </c>
      <c r="R28" s="670">
        <v>50000000</v>
      </c>
      <c r="S28" s="670"/>
      <c r="T28" s="670"/>
      <c r="U28" s="104">
        <f t="shared" si="1"/>
        <v>10000000</v>
      </c>
      <c r="V28" s="100" t="s">
        <v>199</v>
      </c>
      <c r="W28" s="671">
        <v>20</v>
      </c>
      <c r="X28" s="672" t="s">
        <v>167</v>
      </c>
      <c r="Y28" s="673">
        <v>439956</v>
      </c>
      <c r="Z28" s="674">
        <v>409116</v>
      </c>
      <c r="AA28" s="109">
        <v>148588.5</v>
      </c>
      <c r="AB28" s="109">
        <v>54208.5</v>
      </c>
      <c r="AC28" s="109">
        <v>471279</v>
      </c>
      <c r="AD28" s="109">
        <v>174996</v>
      </c>
      <c r="AE28" s="109">
        <v>4870.5</v>
      </c>
      <c r="AF28" s="109">
        <v>10206</v>
      </c>
      <c r="AG28" s="105">
        <v>37.5</v>
      </c>
      <c r="AH28" s="105">
        <v>10.5</v>
      </c>
      <c r="AI28" s="110"/>
      <c r="AJ28" s="110"/>
      <c r="AK28" s="110"/>
      <c r="AL28" s="105">
        <v>42831</v>
      </c>
      <c r="AM28" s="105">
        <v>80871</v>
      </c>
      <c r="AN28" s="109">
        <v>849072</v>
      </c>
      <c r="AO28" s="106">
        <v>46023</v>
      </c>
      <c r="AP28" s="106">
        <v>46387</v>
      </c>
      <c r="AQ28" s="891" t="s">
        <v>168</v>
      </c>
    </row>
    <row r="29" spans="1:43" s="675" customFormat="1" ht="90">
      <c r="A29" s="100">
        <v>4</v>
      </c>
      <c r="B29" s="521" t="s">
        <v>58</v>
      </c>
      <c r="C29" s="100">
        <v>45</v>
      </c>
      <c r="D29" s="521" t="s">
        <v>161</v>
      </c>
      <c r="E29" s="112">
        <v>4599</v>
      </c>
      <c r="F29" s="113" t="s">
        <v>86</v>
      </c>
      <c r="G29" s="326">
        <v>4599025</v>
      </c>
      <c r="H29" s="326" t="s">
        <v>193</v>
      </c>
      <c r="I29" s="114" t="s">
        <v>201</v>
      </c>
      <c r="J29" s="326" t="s">
        <v>202</v>
      </c>
      <c r="K29" s="108">
        <v>1</v>
      </c>
      <c r="L29" s="108"/>
      <c r="M29" s="108">
        <f>K29+L29</f>
        <v>1</v>
      </c>
      <c r="N29" s="101">
        <v>2024003630066</v>
      </c>
      <c r="O29" s="521" t="s">
        <v>195</v>
      </c>
      <c r="P29" s="115" t="s">
        <v>203</v>
      </c>
      <c r="Q29" s="103">
        <v>392846335.20999998</v>
      </c>
      <c r="R29" s="670">
        <f>11100000+11100000+12000000+14800000</f>
        <v>49000000</v>
      </c>
      <c r="S29" s="670"/>
      <c r="T29" s="670"/>
      <c r="U29" s="104">
        <f t="shared" si="1"/>
        <v>343846335.20999998</v>
      </c>
      <c r="V29" s="100" t="s">
        <v>199</v>
      </c>
      <c r="W29" s="671">
        <v>20</v>
      </c>
      <c r="X29" s="672" t="s">
        <v>167</v>
      </c>
      <c r="Y29" s="673">
        <v>439956</v>
      </c>
      <c r="Z29" s="674">
        <v>409116</v>
      </c>
      <c r="AA29" s="109">
        <v>148588.5</v>
      </c>
      <c r="AB29" s="109">
        <v>54208.5</v>
      </c>
      <c r="AC29" s="109">
        <v>471279</v>
      </c>
      <c r="AD29" s="109">
        <v>174996</v>
      </c>
      <c r="AE29" s="109">
        <v>4870.5</v>
      </c>
      <c r="AF29" s="109">
        <v>10206</v>
      </c>
      <c r="AG29" s="105">
        <v>37.5</v>
      </c>
      <c r="AH29" s="105">
        <v>10.5</v>
      </c>
      <c r="AI29" s="110"/>
      <c r="AJ29" s="110"/>
      <c r="AK29" s="110"/>
      <c r="AL29" s="105">
        <v>42831</v>
      </c>
      <c r="AM29" s="105">
        <v>80871</v>
      </c>
      <c r="AN29" s="109">
        <v>849072</v>
      </c>
      <c r="AO29" s="106">
        <v>46023</v>
      </c>
      <c r="AP29" s="106">
        <v>46387</v>
      </c>
      <c r="AQ29" s="891" t="s">
        <v>168</v>
      </c>
    </row>
    <row r="30" spans="1:43" s="675" customFormat="1" ht="76.5">
      <c r="A30" s="100">
        <v>4</v>
      </c>
      <c r="B30" s="521" t="s">
        <v>58</v>
      </c>
      <c r="C30" s="100">
        <v>45</v>
      </c>
      <c r="D30" s="521" t="s">
        <v>161</v>
      </c>
      <c r="E30" s="112">
        <v>4599</v>
      </c>
      <c r="F30" s="113" t="s">
        <v>86</v>
      </c>
      <c r="G30" s="326">
        <v>4599025</v>
      </c>
      <c r="H30" s="326" t="s">
        <v>193</v>
      </c>
      <c r="I30" s="114" t="s">
        <v>201</v>
      </c>
      <c r="J30" s="326" t="s">
        <v>202</v>
      </c>
      <c r="K30" s="108">
        <v>1</v>
      </c>
      <c r="L30" s="115"/>
      <c r="M30" s="108">
        <f>K30+L30</f>
        <v>1</v>
      </c>
      <c r="N30" s="101">
        <v>2024003630066</v>
      </c>
      <c r="O30" s="521" t="s">
        <v>195</v>
      </c>
      <c r="P30" s="521" t="s">
        <v>204</v>
      </c>
      <c r="Q30" s="103">
        <v>40000000</v>
      </c>
      <c r="R30" s="670">
        <f>40000000</f>
        <v>40000000</v>
      </c>
      <c r="S30" s="670"/>
      <c r="T30" s="670"/>
      <c r="U30" s="104">
        <f t="shared" si="1"/>
        <v>0</v>
      </c>
      <c r="V30" s="100" t="s">
        <v>199</v>
      </c>
      <c r="W30" s="671">
        <v>20</v>
      </c>
      <c r="X30" s="672" t="s">
        <v>167</v>
      </c>
      <c r="Y30" s="673">
        <v>439956</v>
      </c>
      <c r="Z30" s="674">
        <v>409116</v>
      </c>
      <c r="AA30" s="109">
        <v>148588.5</v>
      </c>
      <c r="AB30" s="109">
        <v>54208.5</v>
      </c>
      <c r="AC30" s="109">
        <v>471279</v>
      </c>
      <c r="AD30" s="109">
        <v>174996</v>
      </c>
      <c r="AE30" s="109">
        <v>4870.5</v>
      </c>
      <c r="AF30" s="109">
        <v>10206</v>
      </c>
      <c r="AG30" s="105">
        <v>37.5</v>
      </c>
      <c r="AH30" s="105">
        <v>10.5</v>
      </c>
      <c r="AI30" s="110"/>
      <c r="AJ30" s="110"/>
      <c r="AK30" s="110"/>
      <c r="AL30" s="105">
        <v>42831</v>
      </c>
      <c r="AM30" s="105">
        <v>80871</v>
      </c>
      <c r="AN30" s="109">
        <v>849072</v>
      </c>
      <c r="AO30" s="106">
        <v>46023</v>
      </c>
      <c r="AP30" s="106">
        <v>46387</v>
      </c>
      <c r="AQ30" s="891" t="s">
        <v>168</v>
      </c>
    </row>
    <row r="31" spans="1:43" s="118" customFormat="1" ht="108" customHeight="1">
      <c r="A31" s="521">
        <v>4</v>
      </c>
      <c r="B31" s="116" t="s">
        <v>58</v>
      </c>
      <c r="C31" s="676">
        <v>45</v>
      </c>
      <c r="D31" s="676" t="s">
        <v>59</v>
      </c>
      <c r="E31" s="521">
        <v>4599</v>
      </c>
      <c r="F31" s="116" t="s">
        <v>86</v>
      </c>
      <c r="G31" s="521">
        <v>4599023</v>
      </c>
      <c r="H31" s="116" t="s">
        <v>62</v>
      </c>
      <c r="I31" s="521">
        <v>459902300</v>
      </c>
      <c r="J31" s="116" t="s">
        <v>63</v>
      </c>
      <c r="K31" s="521">
        <v>1</v>
      </c>
      <c r="L31" s="521"/>
      <c r="M31" s="521">
        <f>K31+L31</f>
        <v>1</v>
      </c>
      <c r="N31" s="117">
        <v>2024003630037</v>
      </c>
      <c r="O31" s="116" t="s">
        <v>205</v>
      </c>
      <c r="P31" s="514" t="s">
        <v>206</v>
      </c>
      <c r="Q31" s="677">
        <v>6000000</v>
      </c>
      <c r="R31" s="678"/>
      <c r="S31" s="679"/>
      <c r="T31" s="679"/>
      <c r="U31" s="104">
        <f t="shared" si="1"/>
        <v>6000000</v>
      </c>
      <c r="V31" s="680" t="s">
        <v>207</v>
      </c>
      <c r="W31" s="112">
        <v>20</v>
      </c>
      <c r="X31" s="113" t="s">
        <v>167</v>
      </c>
      <c r="Y31" s="521">
        <v>293304</v>
      </c>
      <c r="Z31" s="521">
        <v>272744</v>
      </c>
      <c r="AA31" s="521">
        <v>99059</v>
      </c>
      <c r="AB31" s="521">
        <v>36139</v>
      </c>
      <c r="AC31" s="521">
        <v>314186</v>
      </c>
      <c r="AD31" s="521">
        <v>116664</v>
      </c>
      <c r="AE31" s="521">
        <v>3247</v>
      </c>
      <c r="AF31" s="521">
        <v>6804</v>
      </c>
      <c r="AG31" s="521">
        <v>25</v>
      </c>
      <c r="AH31" s="521">
        <v>7</v>
      </c>
      <c r="AI31" s="521"/>
      <c r="AJ31" s="521"/>
      <c r="AK31" s="521"/>
      <c r="AL31" s="521">
        <v>28554</v>
      </c>
      <c r="AM31" s="521">
        <v>53914</v>
      </c>
      <c r="AN31" s="521">
        <f>Y31+Z31</f>
        <v>566048</v>
      </c>
      <c r="AO31" s="106">
        <v>46023</v>
      </c>
      <c r="AP31" s="681">
        <v>46387</v>
      </c>
      <c r="AQ31" s="521" t="s">
        <v>208</v>
      </c>
    </row>
    <row r="32" spans="1:43" s="118" customFormat="1" ht="108" customHeight="1">
      <c r="A32" s="521">
        <v>4</v>
      </c>
      <c r="B32" s="116" t="s">
        <v>58</v>
      </c>
      <c r="C32" s="676">
        <v>45</v>
      </c>
      <c r="D32" s="676" t="s">
        <v>59</v>
      </c>
      <c r="E32" s="521">
        <v>4599</v>
      </c>
      <c r="F32" s="116" t="s">
        <v>86</v>
      </c>
      <c r="G32" s="521">
        <v>4599023</v>
      </c>
      <c r="H32" s="116" t="s">
        <v>62</v>
      </c>
      <c r="I32" s="521">
        <v>459902300</v>
      </c>
      <c r="J32" s="116" t="s">
        <v>63</v>
      </c>
      <c r="K32" s="521">
        <v>1</v>
      </c>
      <c r="L32" s="521"/>
      <c r="M32" s="521">
        <f t="shared" ref="M32:M58" si="5">K32+L32</f>
        <v>1</v>
      </c>
      <c r="N32" s="117">
        <v>2024003630037</v>
      </c>
      <c r="O32" s="116" t="s">
        <v>205</v>
      </c>
      <c r="P32" s="514" t="s">
        <v>209</v>
      </c>
      <c r="Q32" s="677">
        <v>6000000</v>
      </c>
      <c r="R32" s="678">
        <f>3000000</f>
        <v>3000000</v>
      </c>
      <c r="S32" s="679"/>
      <c r="T32" s="679"/>
      <c r="U32" s="104">
        <f t="shared" si="1"/>
        <v>3000000</v>
      </c>
      <c r="V32" s="680" t="s">
        <v>207</v>
      </c>
      <c r="W32" s="112">
        <v>20</v>
      </c>
      <c r="X32" s="113" t="s">
        <v>167</v>
      </c>
      <c r="Y32" s="521">
        <v>293304</v>
      </c>
      <c r="Z32" s="521">
        <v>272744</v>
      </c>
      <c r="AA32" s="521">
        <v>99059</v>
      </c>
      <c r="AB32" s="521">
        <v>36139</v>
      </c>
      <c r="AC32" s="521">
        <v>314186</v>
      </c>
      <c r="AD32" s="521">
        <v>116664</v>
      </c>
      <c r="AE32" s="521">
        <v>3247</v>
      </c>
      <c r="AF32" s="521">
        <v>6804</v>
      </c>
      <c r="AG32" s="521">
        <v>25</v>
      </c>
      <c r="AH32" s="521">
        <v>7</v>
      </c>
      <c r="AI32" s="521"/>
      <c r="AJ32" s="521"/>
      <c r="AK32" s="521"/>
      <c r="AL32" s="521">
        <v>28554</v>
      </c>
      <c r="AM32" s="521">
        <v>53914</v>
      </c>
      <c r="AN32" s="521">
        <f t="shared" ref="AN32:AN58" si="6">Y32+Z32</f>
        <v>566048</v>
      </c>
      <c r="AO32" s="106">
        <v>46023</v>
      </c>
      <c r="AP32" s="681">
        <v>46387</v>
      </c>
      <c r="AQ32" s="521" t="s">
        <v>208</v>
      </c>
    </row>
    <row r="33" spans="1:43" s="118" customFormat="1" ht="186" customHeight="1">
      <c r="A33" s="521">
        <v>4</v>
      </c>
      <c r="B33" s="116" t="s">
        <v>58</v>
      </c>
      <c r="C33" s="676">
        <v>45</v>
      </c>
      <c r="D33" s="676" t="s">
        <v>59</v>
      </c>
      <c r="E33" s="521">
        <v>4599</v>
      </c>
      <c r="F33" s="116" t="s">
        <v>86</v>
      </c>
      <c r="G33" s="521">
        <v>4599023</v>
      </c>
      <c r="H33" s="116" t="s">
        <v>62</v>
      </c>
      <c r="I33" s="521">
        <v>459902300</v>
      </c>
      <c r="J33" s="116" t="s">
        <v>63</v>
      </c>
      <c r="K33" s="521">
        <v>1</v>
      </c>
      <c r="L33" s="521"/>
      <c r="M33" s="521">
        <f t="shared" si="5"/>
        <v>1</v>
      </c>
      <c r="N33" s="117">
        <v>2024003630037</v>
      </c>
      <c r="O33" s="116" t="s">
        <v>205</v>
      </c>
      <c r="P33" s="514" t="s">
        <v>210</v>
      </c>
      <c r="Q33" s="677">
        <v>30000000</v>
      </c>
      <c r="R33" s="678">
        <f>6000000</f>
        <v>6000000</v>
      </c>
      <c r="S33" s="679"/>
      <c r="T33" s="679"/>
      <c r="U33" s="104">
        <f t="shared" si="1"/>
        <v>24000000</v>
      </c>
      <c r="V33" s="680" t="s">
        <v>207</v>
      </c>
      <c r="W33" s="112">
        <v>20</v>
      </c>
      <c r="X33" s="113" t="s">
        <v>167</v>
      </c>
      <c r="Y33" s="521">
        <v>293304</v>
      </c>
      <c r="Z33" s="521">
        <v>272744</v>
      </c>
      <c r="AA33" s="521">
        <v>99059</v>
      </c>
      <c r="AB33" s="521">
        <v>36139</v>
      </c>
      <c r="AC33" s="521">
        <v>314186</v>
      </c>
      <c r="AD33" s="521">
        <v>116664</v>
      </c>
      <c r="AE33" s="521">
        <v>3247</v>
      </c>
      <c r="AF33" s="521">
        <v>6804</v>
      </c>
      <c r="AG33" s="521">
        <v>25</v>
      </c>
      <c r="AH33" s="521">
        <v>7</v>
      </c>
      <c r="AI33" s="521"/>
      <c r="AJ33" s="521"/>
      <c r="AK33" s="521"/>
      <c r="AL33" s="521">
        <v>28554</v>
      </c>
      <c r="AM33" s="521">
        <v>53914</v>
      </c>
      <c r="AN33" s="521">
        <f t="shared" si="6"/>
        <v>566048</v>
      </c>
      <c r="AO33" s="106">
        <v>46023</v>
      </c>
      <c r="AP33" s="681">
        <v>46387</v>
      </c>
      <c r="AQ33" s="521" t="s">
        <v>208</v>
      </c>
    </row>
    <row r="34" spans="1:43" s="118" customFormat="1" ht="108" customHeight="1">
      <c r="A34" s="521">
        <v>4</v>
      </c>
      <c r="B34" s="116" t="s">
        <v>58</v>
      </c>
      <c r="C34" s="676">
        <v>45</v>
      </c>
      <c r="D34" s="676" t="s">
        <v>59</v>
      </c>
      <c r="E34" s="521">
        <v>4599</v>
      </c>
      <c r="F34" s="116" t="s">
        <v>86</v>
      </c>
      <c r="G34" s="521">
        <v>4599023</v>
      </c>
      <c r="H34" s="116" t="s">
        <v>62</v>
      </c>
      <c r="I34" s="521">
        <v>459902300</v>
      </c>
      <c r="J34" s="116" t="s">
        <v>63</v>
      </c>
      <c r="K34" s="521">
        <v>1</v>
      </c>
      <c r="L34" s="521"/>
      <c r="M34" s="521">
        <f t="shared" si="5"/>
        <v>1</v>
      </c>
      <c r="N34" s="117">
        <v>2024003630037</v>
      </c>
      <c r="O34" s="116" t="s">
        <v>205</v>
      </c>
      <c r="P34" s="514" t="s">
        <v>211</v>
      </c>
      <c r="Q34" s="677">
        <v>6000000</v>
      </c>
      <c r="R34" s="678">
        <f>3000000</f>
        <v>3000000</v>
      </c>
      <c r="S34" s="679"/>
      <c r="T34" s="679"/>
      <c r="U34" s="104">
        <f t="shared" si="1"/>
        <v>3000000</v>
      </c>
      <c r="V34" s="680" t="s">
        <v>207</v>
      </c>
      <c r="W34" s="112">
        <v>20</v>
      </c>
      <c r="X34" s="113" t="s">
        <v>167</v>
      </c>
      <c r="Y34" s="521">
        <v>293304</v>
      </c>
      <c r="Z34" s="521">
        <v>272744</v>
      </c>
      <c r="AA34" s="521">
        <v>99059</v>
      </c>
      <c r="AB34" s="521">
        <v>36139</v>
      </c>
      <c r="AC34" s="521">
        <v>314186</v>
      </c>
      <c r="AD34" s="521">
        <v>116664</v>
      </c>
      <c r="AE34" s="521">
        <v>3247</v>
      </c>
      <c r="AF34" s="521">
        <v>6804</v>
      </c>
      <c r="AG34" s="521">
        <v>25</v>
      </c>
      <c r="AH34" s="521">
        <v>7</v>
      </c>
      <c r="AI34" s="521"/>
      <c r="AJ34" s="521"/>
      <c r="AK34" s="521"/>
      <c r="AL34" s="521">
        <v>28554</v>
      </c>
      <c r="AM34" s="521">
        <v>53914</v>
      </c>
      <c r="AN34" s="521">
        <f t="shared" si="6"/>
        <v>566048</v>
      </c>
      <c r="AO34" s="106">
        <v>46023</v>
      </c>
      <c r="AP34" s="681">
        <v>46387</v>
      </c>
      <c r="AQ34" s="521" t="s">
        <v>208</v>
      </c>
    </row>
    <row r="35" spans="1:43" s="118" customFormat="1" ht="108" customHeight="1">
      <c r="A35" s="521">
        <v>4</v>
      </c>
      <c r="B35" s="116" t="s">
        <v>58</v>
      </c>
      <c r="C35" s="676">
        <v>45</v>
      </c>
      <c r="D35" s="676" t="s">
        <v>59</v>
      </c>
      <c r="E35" s="521">
        <v>4599</v>
      </c>
      <c r="F35" s="116" t="s">
        <v>86</v>
      </c>
      <c r="G35" s="521">
        <v>4599023</v>
      </c>
      <c r="H35" s="116" t="s">
        <v>62</v>
      </c>
      <c r="I35" s="521">
        <v>459902300</v>
      </c>
      <c r="J35" s="116" t="s">
        <v>63</v>
      </c>
      <c r="K35" s="521">
        <v>1</v>
      </c>
      <c r="L35" s="521"/>
      <c r="M35" s="521">
        <f t="shared" si="5"/>
        <v>1</v>
      </c>
      <c r="N35" s="117">
        <v>2024003630037</v>
      </c>
      <c r="O35" s="116" t="s">
        <v>205</v>
      </c>
      <c r="P35" s="514" t="s">
        <v>212</v>
      </c>
      <c r="Q35" s="677">
        <v>6000000</v>
      </c>
      <c r="R35" s="678"/>
      <c r="S35" s="679"/>
      <c r="T35" s="679"/>
      <c r="U35" s="104">
        <f t="shared" si="1"/>
        <v>6000000</v>
      </c>
      <c r="V35" s="680" t="s">
        <v>207</v>
      </c>
      <c r="W35" s="112">
        <v>20</v>
      </c>
      <c r="X35" s="113" t="s">
        <v>167</v>
      </c>
      <c r="Y35" s="521">
        <v>293304</v>
      </c>
      <c r="Z35" s="521">
        <v>272744</v>
      </c>
      <c r="AA35" s="521">
        <v>99059</v>
      </c>
      <c r="AB35" s="521">
        <v>36139</v>
      </c>
      <c r="AC35" s="521">
        <v>314186</v>
      </c>
      <c r="AD35" s="521">
        <v>116664</v>
      </c>
      <c r="AE35" s="521">
        <v>3247</v>
      </c>
      <c r="AF35" s="521">
        <v>6804</v>
      </c>
      <c r="AG35" s="521">
        <v>25</v>
      </c>
      <c r="AH35" s="521">
        <v>7</v>
      </c>
      <c r="AI35" s="521"/>
      <c r="AJ35" s="521"/>
      <c r="AK35" s="521"/>
      <c r="AL35" s="521">
        <v>28554</v>
      </c>
      <c r="AM35" s="521">
        <v>53914</v>
      </c>
      <c r="AN35" s="521">
        <f t="shared" si="6"/>
        <v>566048</v>
      </c>
      <c r="AO35" s="106">
        <v>46023</v>
      </c>
      <c r="AP35" s="681">
        <v>46387</v>
      </c>
      <c r="AQ35" s="521" t="s">
        <v>208</v>
      </c>
    </row>
    <row r="36" spans="1:43" s="118" customFormat="1" ht="108" customHeight="1">
      <c r="A36" s="521">
        <v>4</v>
      </c>
      <c r="B36" s="116" t="s">
        <v>58</v>
      </c>
      <c r="C36" s="676">
        <v>45</v>
      </c>
      <c r="D36" s="676" t="s">
        <v>59</v>
      </c>
      <c r="E36" s="521">
        <v>4599</v>
      </c>
      <c r="F36" s="116" t="s">
        <v>86</v>
      </c>
      <c r="G36" s="521">
        <v>4599023</v>
      </c>
      <c r="H36" s="116" t="s">
        <v>62</v>
      </c>
      <c r="I36" s="521">
        <v>459902300</v>
      </c>
      <c r="J36" s="116" t="s">
        <v>63</v>
      </c>
      <c r="K36" s="521">
        <v>1</v>
      </c>
      <c r="L36" s="521"/>
      <c r="M36" s="521">
        <f t="shared" si="5"/>
        <v>1</v>
      </c>
      <c r="N36" s="117">
        <v>2024003630037</v>
      </c>
      <c r="O36" s="116" t="s">
        <v>205</v>
      </c>
      <c r="P36" s="514" t="s">
        <v>213</v>
      </c>
      <c r="Q36" s="677">
        <v>6000000</v>
      </c>
      <c r="R36" s="678"/>
      <c r="S36" s="679"/>
      <c r="T36" s="679"/>
      <c r="U36" s="104">
        <f t="shared" si="1"/>
        <v>6000000</v>
      </c>
      <c r="V36" s="680" t="s">
        <v>207</v>
      </c>
      <c r="W36" s="112">
        <v>20</v>
      </c>
      <c r="X36" s="113" t="s">
        <v>167</v>
      </c>
      <c r="Y36" s="521">
        <v>293304</v>
      </c>
      <c r="Z36" s="521">
        <v>272744</v>
      </c>
      <c r="AA36" s="521">
        <v>99059</v>
      </c>
      <c r="AB36" s="521">
        <v>36139</v>
      </c>
      <c r="AC36" s="521">
        <v>314186</v>
      </c>
      <c r="AD36" s="521">
        <v>116664</v>
      </c>
      <c r="AE36" s="521">
        <v>3247</v>
      </c>
      <c r="AF36" s="521">
        <v>6804</v>
      </c>
      <c r="AG36" s="521">
        <v>25</v>
      </c>
      <c r="AH36" s="521">
        <v>7</v>
      </c>
      <c r="AI36" s="521"/>
      <c r="AJ36" s="521"/>
      <c r="AK36" s="521"/>
      <c r="AL36" s="521">
        <v>28554</v>
      </c>
      <c r="AM36" s="521">
        <v>53914</v>
      </c>
      <c r="AN36" s="521">
        <f t="shared" si="6"/>
        <v>566048</v>
      </c>
      <c r="AO36" s="106">
        <v>46023</v>
      </c>
      <c r="AP36" s="681">
        <v>46387</v>
      </c>
      <c r="AQ36" s="521" t="s">
        <v>208</v>
      </c>
    </row>
    <row r="37" spans="1:43" s="118" customFormat="1" ht="108" customHeight="1">
      <c r="A37" s="521">
        <v>4</v>
      </c>
      <c r="B37" s="116" t="s">
        <v>58</v>
      </c>
      <c r="C37" s="676">
        <v>45</v>
      </c>
      <c r="D37" s="676" t="s">
        <v>59</v>
      </c>
      <c r="E37" s="521">
        <v>4599</v>
      </c>
      <c r="F37" s="116" t="s">
        <v>86</v>
      </c>
      <c r="G37" s="521">
        <v>4599023</v>
      </c>
      <c r="H37" s="116" t="s">
        <v>62</v>
      </c>
      <c r="I37" s="521">
        <v>459902300</v>
      </c>
      <c r="J37" s="116" t="s">
        <v>63</v>
      </c>
      <c r="K37" s="521">
        <v>1</v>
      </c>
      <c r="L37" s="521"/>
      <c r="M37" s="521">
        <f t="shared" si="5"/>
        <v>1</v>
      </c>
      <c r="N37" s="117">
        <v>2024003630037</v>
      </c>
      <c r="O37" s="116" t="s">
        <v>205</v>
      </c>
      <c r="P37" s="514" t="s">
        <v>214</v>
      </c>
      <c r="Q37" s="677">
        <v>6000000</v>
      </c>
      <c r="R37" s="678"/>
      <c r="S37" s="679"/>
      <c r="T37" s="679"/>
      <c r="U37" s="104">
        <f t="shared" si="1"/>
        <v>6000000</v>
      </c>
      <c r="V37" s="680" t="s">
        <v>207</v>
      </c>
      <c r="W37" s="112">
        <v>20</v>
      </c>
      <c r="X37" s="113" t="s">
        <v>167</v>
      </c>
      <c r="Y37" s="521">
        <v>293304</v>
      </c>
      <c r="Z37" s="521">
        <v>272744</v>
      </c>
      <c r="AA37" s="521">
        <v>99059</v>
      </c>
      <c r="AB37" s="521">
        <v>36139</v>
      </c>
      <c r="AC37" s="521">
        <v>314186</v>
      </c>
      <c r="AD37" s="521">
        <v>116664</v>
      </c>
      <c r="AE37" s="521">
        <v>3247</v>
      </c>
      <c r="AF37" s="521">
        <v>6804</v>
      </c>
      <c r="AG37" s="521">
        <v>25</v>
      </c>
      <c r="AH37" s="521">
        <v>7</v>
      </c>
      <c r="AI37" s="521"/>
      <c r="AJ37" s="521"/>
      <c r="AK37" s="521"/>
      <c r="AL37" s="521">
        <v>28554</v>
      </c>
      <c r="AM37" s="521">
        <v>53914</v>
      </c>
      <c r="AN37" s="521">
        <f t="shared" si="6"/>
        <v>566048</v>
      </c>
      <c r="AO37" s="106">
        <v>46023</v>
      </c>
      <c r="AP37" s="681">
        <v>46387</v>
      </c>
      <c r="AQ37" s="521" t="s">
        <v>208</v>
      </c>
    </row>
    <row r="38" spans="1:43" s="118" customFormat="1" ht="108" customHeight="1">
      <c r="A38" s="521">
        <v>4</v>
      </c>
      <c r="B38" s="116" t="s">
        <v>58</v>
      </c>
      <c r="C38" s="676">
        <v>45</v>
      </c>
      <c r="D38" s="676" t="s">
        <v>59</v>
      </c>
      <c r="E38" s="521">
        <v>4599</v>
      </c>
      <c r="F38" s="116" t="s">
        <v>86</v>
      </c>
      <c r="G38" s="521">
        <v>4599023</v>
      </c>
      <c r="H38" s="116" t="s">
        <v>62</v>
      </c>
      <c r="I38" s="521">
        <v>459902300</v>
      </c>
      <c r="J38" s="116" t="s">
        <v>63</v>
      </c>
      <c r="K38" s="521">
        <v>1</v>
      </c>
      <c r="L38" s="521"/>
      <c r="M38" s="521">
        <f t="shared" si="5"/>
        <v>1</v>
      </c>
      <c r="N38" s="117">
        <v>2024003630037</v>
      </c>
      <c r="O38" s="116" t="s">
        <v>205</v>
      </c>
      <c r="P38" s="514" t="s">
        <v>215</v>
      </c>
      <c r="Q38" s="677">
        <v>7200000</v>
      </c>
      <c r="R38" s="678">
        <f>1200000</f>
        <v>1200000</v>
      </c>
      <c r="S38" s="679"/>
      <c r="T38" s="679"/>
      <c r="U38" s="104">
        <f t="shared" si="1"/>
        <v>6000000</v>
      </c>
      <c r="V38" s="680" t="s">
        <v>207</v>
      </c>
      <c r="W38" s="112">
        <v>20</v>
      </c>
      <c r="X38" s="113" t="s">
        <v>167</v>
      </c>
      <c r="Y38" s="521">
        <v>293304</v>
      </c>
      <c r="Z38" s="521">
        <v>272744</v>
      </c>
      <c r="AA38" s="521">
        <v>99059</v>
      </c>
      <c r="AB38" s="521">
        <v>36139</v>
      </c>
      <c r="AC38" s="521">
        <v>314186</v>
      </c>
      <c r="AD38" s="521">
        <v>116664</v>
      </c>
      <c r="AE38" s="521">
        <v>3247</v>
      </c>
      <c r="AF38" s="521">
        <v>6804</v>
      </c>
      <c r="AG38" s="521">
        <v>25</v>
      </c>
      <c r="AH38" s="521">
        <v>7</v>
      </c>
      <c r="AI38" s="521"/>
      <c r="AJ38" s="521"/>
      <c r="AK38" s="521"/>
      <c r="AL38" s="521">
        <v>28554</v>
      </c>
      <c r="AM38" s="521">
        <v>53914</v>
      </c>
      <c r="AN38" s="521">
        <f t="shared" si="6"/>
        <v>566048</v>
      </c>
      <c r="AO38" s="106">
        <v>46023</v>
      </c>
      <c r="AP38" s="681">
        <v>46387</v>
      </c>
      <c r="AQ38" s="521" t="s">
        <v>208</v>
      </c>
    </row>
    <row r="39" spans="1:43" s="118" customFormat="1" ht="108" customHeight="1">
      <c r="A39" s="521">
        <v>4</v>
      </c>
      <c r="B39" s="116" t="s">
        <v>58</v>
      </c>
      <c r="C39" s="676">
        <v>45</v>
      </c>
      <c r="D39" s="676" t="s">
        <v>59</v>
      </c>
      <c r="E39" s="521">
        <v>4599</v>
      </c>
      <c r="F39" s="116" t="s">
        <v>86</v>
      </c>
      <c r="G39" s="521">
        <v>4599023</v>
      </c>
      <c r="H39" s="116" t="s">
        <v>62</v>
      </c>
      <c r="I39" s="521">
        <v>459902300</v>
      </c>
      <c r="J39" s="116" t="s">
        <v>63</v>
      </c>
      <c r="K39" s="521">
        <v>1</v>
      </c>
      <c r="L39" s="521"/>
      <c r="M39" s="521">
        <f t="shared" si="5"/>
        <v>1</v>
      </c>
      <c r="N39" s="117">
        <v>2024003630037</v>
      </c>
      <c r="O39" s="116" t="s">
        <v>205</v>
      </c>
      <c r="P39" s="514" t="s">
        <v>216</v>
      </c>
      <c r="Q39" s="677">
        <v>31900000</v>
      </c>
      <c r="R39" s="678">
        <f>2800000</f>
        <v>2800000</v>
      </c>
      <c r="S39" s="679"/>
      <c r="T39" s="679"/>
      <c r="U39" s="104">
        <f t="shared" si="1"/>
        <v>29100000</v>
      </c>
      <c r="V39" s="680" t="s">
        <v>207</v>
      </c>
      <c r="W39" s="112">
        <v>20</v>
      </c>
      <c r="X39" s="113" t="s">
        <v>167</v>
      </c>
      <c r="Y39" s="521">
        <v>293304</v>
      </c>
      <c r="Z39" s="521">
        <v>272744</v>
      </c>
      <c r="AA39" s="521">
        <v>99059</v>
      </c>
      <c r="AB39" s="521">
        <v>36139</v>
      </c>
      <c r="AC39" s="521">
        <v>314186</v>
      </c>
      <c r="AD39" s="521">
        <v>116664</v>
      </c>
      <c r="AE39" s="521">
        <v>3247</v>
      </c>
      <c r="AF39" s="521">
        <v>6804</v>
      </c>
      <c r="AG39" s="521">
        <v>25</v>
      </c>
      <c r="AH39" s="521">
        <v>7</v>
      </c>
      <c r="AI39" s="521"/>
      <c r="AJ39" s="521"/>
      <c r="AK39" s="521"/>
      <c r="AL39" s="521">
        <v>28554</v>
      </c>
      <c r="AM39" s="521">
        <v>53914</v>
      </c>
      <c r="AN39" s="521">
        <f t="shared" si="6"/>
        <v>566048</v>
      </c>
      <c r="AO39" s="106">
        <v>46023</v>
      </c>
      <c r="AP39" s="681">
        <v>46387</v>
      </c>
      <c r="AQ39" s="521" t="s">
        <v>208</v>
      </c>
    </row>
    <row r="40" spans="1:43" s="118" customFormat="1" ht="108" customHeight="1">
      <c r="A40" s="521">
        <v>4</v>
      </c>
      <c r="B40" s="116" t="s">
        <v>58</v>
      </c>
      <c r="C40" s="676">
        <v>45</v>
      </c>
      <c r="D40" s="676" t="s">
        <v>59</v>
      </c>
      <c r="E40" s="521">
        <v>4599</v>
      </c>
      <c r="F40" s="116" t="s">
        <v>86</v>
      </c>
      <c r="G40" s="521">
        <v>4599023</v>
      </c>
      <c r="H40" s="116" t="s">
        <v>62</v>
      </c>
      <c r="I40" s="521">
        <v>459902300</v>
      </c>
      <c r="J40" s="116" t="s">
        <v>63</v>
      </c>
      <c r="K40" s="521">
        <v>1</v>
      </c>
      <c r="L40" s="521"/>
      <c r="M40" s="521">
        <f t="shared" si="5"/>
        <v>1</v>
      </c>
      <c r="N40" s="117">
        <v>2024003630037</v>
      </c>
      <c r="O40" s="116" t="s">
        <v>205</v>
      </c>
      <c r="P40" s="514" t="s">
        <v>217</v>
      </c>
      <c r="Q40" s="677">
        <v>16900000</v>
      </c>
      <c r="R40" s="678"/>
      <c r="S40" s="679"/>
      <c r="T40" s="679"/>
      <c r="U40" s="104">
        <f t="shared" si="1"/>
        <v>16900000</v>
      </c>
      <c r="V40" s="680" t="s">
        <v>218</v>
      </c>
      <c r="W40" s="112">
        <v>20</v>
      </c>
      <c r="X40" s="113" t="s">
        <v>167</v>
      </c>
      <c r="Y40" s="521">
        <v>293304</v>
      </c>
      <c r="Z40" s="521">
        <v>272744</v>
      </c>
      <c r="AA40" s="521">
        <v>99059</v>
      </c>
      <c r="AB40" s="521">
        <v>36139</v>
      </c>
      <c r="AC40" s="521">
        <v>314186</v>
      </c>
      <c r="AD40" s="521">
        <v>116664</v>
      </c>
      <c r="AE40" s="521">
        <v>3247</v>
      </c>
      <c r="AF40" s="521">
        <v>6804</v>
      </c>
      <c r="AG40" s="521">
        <v>25</v>
      </c>
      <c r="AH40" s="521">
        <v>7</v>
      </c>
      <c r="AI40" s="521"/>
      <c r="AJ40" s="521"/>
      <c r="AK40" s="521"/>
      <c r="AL40" s="521">
        <v>28554</v>
      </c>
      <c r="AM40" s="521">
        <v>53914</v>
      </c>
      <c r="AN40" s="521">
        <f t="shared" si="6"/>
        <v>566048</v>
      </c>
      <c r="AO40" s="106">
        <v>46023</v>
      </c>
      <c r="AP40" s="681">
        <v>46387</v>
      </c>
      <c r="AQ40" s="521" t="s">
        <v>208</v>
      </c>
    </row>
    <row r="41" spans="1:43" s="118" customFormat="1" ht="108" customHeight="1">
      <c r="A41" s="521">
        <v>4</v>
      </c>
      <c r="B41" s="116" t="s">
        <v>58</v>
      </c>
      <c r="C41" s="676">
        <v>45</v>
      </c>
      <c r="D41" s="676" t="s">
        <v>59</v>
      </c>
      <c r="E41" s="521">
        <v>4599</v>
      </c>
      <c r="F41" s="116" t="s">
        <v>86</v>
      </c>
      <c r="G41" s="521" t="s">
        <v>219</v>
      </c>
      <c r="H41" s="116" t="s">
        <v>220</v>
      </c>
      <c r="I41" s="521" t="s">
        <v>221</v>
      </c>
      <c r="J41" s="116" t="s">
        <v>222</v>
      </c>
      <c r="K41" s="521">
        <v>13</v>
      </c>
      <c r="L41" s="521"/>
      <c r="M41" s="521">
        <f t="shared" si="5"/>
        <v>13</v>
      </c>
      <c r="N41" s="117">
        <v>2024003630038</v>
      </c>
      <c r="O41" s="116" t="s">
        <v>223</v>
      </c>
      <c r="P41" s="514" t="s">
        <v>224</v>
      </c>
      <c r="Q41" s="677">
        <v>3000000</v>
      </c>
      <c r="R41" s="678">
        <v>1000000</v>
      </c>
      <c r="S41" s="679"/>
      <c r="T41" s="679"/>
      <c r="U41" s="104">
        <f t="shared" si="1"/>
        <v>2000000</v>
      </c>
      <c r="V41" s="680" t="s">
        <v>225</v>
      </c>
      <c r="W41" s="112">
        <v>20</v>
      </c>
      <c r="X41" s="113" t="s">
        <v>167</v>
      </c>
      <c r="Y41" s="521">
        <v>293304</v>
      </c>
      <c r="Z41" s="521">
        <v>272744</v>
      </c>
      <c r="AA41" s="521">
        <v>99059</v>
      </c>
      <c r="AB41" s="521">
        <v>36139</v>
      </c>
      <c r="AC41" s="521">
        <v>314186</v>
      </c>
      <c r="AD41" s="521">
        <v>116664</v>
      </c>
      <c r="AE41" s="521">
        <v>3247</v>
      </c>
      <c r="AF41" s="521">
        <v>6804</v>
      </c>
      <c r="AG41" s="521">
        <v>25</v>
      </c>
      <c r="AH41" s="521">
        <v>7</v>
      </c>
      <c r="AI41" s="521"/>
      <c r="AJ41" s="521"/>
      <c r="AK41" s="521"/>
      <c r="AL41" s="521">
        <v>28554</v>
      </c>
      <c r="AM41" s="521">
        <v>53914</v>
      </c>
      <c r="AN41" s="521">
        <f t="shared" si="6"/>
        <v>566048</v>
      </c>
      <c r="AO41" s="106">
        <v>46023</v>
      </c>
      <c r="AP41" s="681">
        <v>46387</v>
      </c>
      <c r="AQ41" s="521" t="s">
        <v>208</v>
      </c>
    </row>
    <row r="42" spans="1:43" s="118" customFormat="1" ht="108" customHeight="1">
      <c r="A42" s="521">
        <v>4</v>
      </c>
      <c r="B42" s="116" t="s">
        <v>58</v>
      </c>
      <c r="C42" s="676">
        <v>45</v>
      </c>
      <c r="D42" s="676" t="s">
        <v>59</v>
      </c>
      <c r="E42" s="521">
        <v>4599</v>
      </c>
      <c r="F42" s="116" t="s">
        <v>86</v>
      </c>
      <c r="G42" s="521" t="s">
        <v>219</v>
      </c>
      <c r="H42" s="116" t="s">
        <v>220</v>
      </c>
      <c r="I42" s="521" t="s">
        <v>221</v>
      </c>
      <c r="J42" s="116" t="s">
        <v>222</v>
      </c>
      <c r="K42" s="521">
        <v>13</v>
      </c>
      <c r="L42" s="521"/>
      <c r="M42" s="521">
        <f t="shared" si="5"/>
        <v>13</v>
      </c>
      <c r="N42" s="117">
        <v>2024003630038</v>
      </c>
      <c r="O42" s="116" t="s">
        <v>223</v>
      </c>
      <c r="P42" s="514" t="s">
        <v>226</v>
      </c>
      <c r="Q42" s="677">
        <v>82500000</v>
      </c>
      <c r="R42" s="678">
        <f>9900000+10500000+9900000</f>
        <v>30300000</v>
      </c>
      <c r="S42" s="679"/>
      <c r="T42" s="679"/>
      <c r="U42" s="104">
        <f t="shared" si="1"/>
        <v>52200000</v>
      </c>
      <c r="V42" s="680" t="s">
        <v>225</v>
      </c>
      <c r="W42" s="112">
        <v>20</v>
      </c>
      <c r="X42" s="113" t="s">
        <v>167</v>
      </c>
      <c r="Y42" s="521">
        <v>293304</v>
      </c>
      <c r="Z42" s="521">
        <v>272744</v>
      </c>
      <c r="AA42" s="521">
        <v>99059</v>
      </c>
      <c r="AB42" s="521">
        <v>36139</v>
      </c>
      <c r="AC42" s="521">
        <v>314186</v>
      </c>
      <c r="AD42" s="521">
        <v>116664</v>
      </c>
      <c r="AE42" s="521">
        <v>3247</v>
      </c>
      <c r="AF42" s="521">
        <v>6804</v>
      </c>
      <c r="AG42" s="521">
        <v>25</v>
      </c>
      <c r="AH42" s="521">
        <v>7</v>
      </c>
      <c r="AI42" s="521"/>
      <c r="AJ42" s="521"/>
      <c r="AK42" s="521"/>
      <c r="AL42" s="521">
        <v>28554</v>
      </c>
      <c r="AM42" s="521">
        <v>53914</v>
      </c>
      <c r="AN42" s="521">
        <f t="shared" si="6"/>
        <v>566048</v>
      </c>
      <c r="AO42" s="106">
        <v>46023</v>
      </c>
      <c r="AP42" s="681">
        <v>46387</v>
      </c>
      <c r="AQ42" s="521" t="s">
        <v>208</v>
      </c>
    </row>
    <row r="43" spans="1:43" s="118" customFormat="1" ht="108" customHeight="1">
      <c r="A43" s="521">
        <v>4</v>
      </c>
      <c r="B43" s="116" t="s">
        <v>58</v>
      </c>
      <c r="C43" s="676">
        <v>45</v>
      </c>
      <c r="D43" s="676" t="s">
        <v>59</v>
      </c>
      <c r="E43" s="521">
        <v>4599</v>
      </c>
      <c r="F43" s="116" t="s">
        <v>86</v>
      </c>
      <c r="G43" s="521" t="s">
        <v>219</v>
      </c>
      <c r="H43" s="116" t="s">
        <v>220</v>
      </c>
      <c r="I43" s="521" t="s">
        <v>221</v>
      </c>
      <c r="J43" s="116" t="s">
        <v>222</v>
      </c>
      <c r="K43" s="521">
        <v>13</v>
      </c>
      <c r="L43" s="521"/>
      <c r="M43" s="521">
        <f t="shared" si="5"/>
        <v>13</v>
      </c>
      <c r="N43" s="117">
        <v>2024003630038</v>
      </c>
      <c r="O43" s="116" t="s">
        <v>223</v>
      </c>
      <c r="P43" s="514" t="s">
        <v>227</v>
      </c>
      <c r="Q43" s="677">
        <v>3000000</v>
      </c>
      <c r="R43" s="678">
        <v>1500000</v>
      </c>
      <c r="S43" s="679"/>
      <c r="T43" s="679"/>
      <c r="U43" s="104">
        <f t="shared" si="1"/>
        <v>1500000</v>
      </c>
      <c r="V43" s="680" t="s">
        <v>225</v>
      </c>
      <c r="W43" s="112">
        <v>20</v>
      </c>
      <c r="X43" s="113" t="s">
        <v>167</v>
      </c>
      <c r="Y43" s="521">
        <v>293304</v>
      </c>
      <c r="Z43" s="521">
        <v>272744</v>
      </c>
      <c r="AA43" s="521">
        <v>99059</v>
      </c>
      <c r="AB43" s="521">
        <v>36139</v>
      </c>
      <c r="AC43" s="521">
        <v>314186</v>
      </c>
      <c r="AD43" s="521">
        <v>116664</v>
      </c>
      <c r="AE43" s="521">
        <v>3247</v>
      </c>
      <c r="AF43" s="521">
        <v>6804</v>
      </c>
      <c r="AG43" s="521">
        <v>25</v>
      </c>
      <c r="AH43" s="521">
        <v>7</v>
      </c>
      <c r="AI43" s="521"/>
      <c r="AJ43" s="521"/>
      <c r="AK43" s="521"/>
      <c r="AL43" s="521">
        <v>28554</v>
      </c>
      <c r="AM43" s="521">
        <v>53914</v>
      </c>
      <c r="AN43" s="521">
        <f t="shared" si="6"/>
        <v>566048</v>
      </c>
      <c r="AO43" s="106">
        <v>46023</v>
      </c>
      <c r="AP43" s="681">
        <v>46387</v>
      </c>
      <c r="AQ43" s="521" t="s">
        <v>208</v>
      </c>
    </row>
    <row r="44" spans="1:43" s="118" customFormat="1" ht="108" customHeight="1">
      <c r="A44" s="521">
        <v>4</v>
      </c>
      <c r="B44" s="116" t="s">
        <v>58</v>
      </c>
      <c r="C44" s="676">
        <v>45</v>
      </c>
      <c r="D44" s="676" t="s">
        <v>59</v>
      </c>
      <c r="E44" s="521">
        <v>4599</v>
      </c>
      <c r="F44" s="116" t="s">
        <v>86</v>
      </c>
      <c r="G44" s="521" t="s">
        <v>219</v>
      </c>
      <c r="H44" s="116" t="s">
        <v>220</v>
      </c>
      <c r="I44" s="521" t="s">
        <v>221</v>
      </c>
      <c r="J44" s="116" t="s">
        <v>222</v>
      </c>
      <c r="K44" s="521">
        <v>13</v>
      </c>
      <c r="L44" s="521"/>
      <c r="M44" s="521">
        <f t="shared" si="5"/>
        <v>13</v>
      </c>
      <c r="N44" s="117">
        <v>2024003630038</v>
      </c>
      <c r="O44" s="116" t="s">
        <v>223</v>
      </c>
      <c r="P44" s="514" t="s">
        <v>228</v>
      </c>
      <c r="Q44" s="677">
        <v>28500000</v>
      </c>
      <c r="R44" s="678">
        <f>2100000+2100000</f>
        <v>4200000</v>
      </c>
      <c r="S44" s="679"/>
      <c r="T44" s="679"/>
      <c r="U44" s="104">
        <f t="shared" si="1"/>
        <v>24300000</v>
      </c>
      <c r="V44" s="680" t="s">
        <v>225</v>
      </c>
      <c r="W44" s="112">
        <v>20</v>
      </c>
      <c r="X44" s="113" t="s">
        <v>167</v>
      </c>
      <c r="Y44" s="521">
        <v>293304</v>
      </c>
      <c r="Z44" s="521">
        <v>272744</v>
      </c>
      <c r="AA44" s="521">
        <v>99059</v>
      </c>
      <c r="AB44" s="521">
        <v>36139</v>
      </c>
      <c r="AC44" s="521">
        <v>314186</v>
      </c>
      <c r="AD44" s="521">
        <v>116664</v>
      </c>
      <c r="AE44" s="521">
        <v>3247</v>
      </c>
      <c r="AF44" s="521">
        <v>6804</v>
      </c>
      <c r="AG44" s="521">
        <v>25</v>
      </c>
      <c r="AH44" s="521">
        <v>7</v>
      </c>
      <c r="AI44" s="521"/>
      <c r="AJ44" s="521"/>
      <c r="AK44" s="521"/>
      <c r="AL44" s="521">
        <v>28554</v>
      </c>
      <c r="AM44" s="521">
        <v>53914</v>
      </c>
      <c r="AN44" s="521">
        <f t="shared" si="6"/>
        <v>566048</v>
      </c>
      <c r="AO44" s="106">
        <v>46023</v>
      </c>
      <c r="AP44" s="681">
        <v>46387</v>
      </c>
      <c r="AQ44" s="521" t="s">
        <v>208</v>
      </c>
    </row>
    <row r="45" spans="1:43" s="118" customFormat="1" ht="108" customHeight="1">
      <c r="A45" s="521">
        <v>4</v>
      </c>
      <c r="B45" s="116" t="s">
        <v>58</v>
      </c>
      <c r="C45" s="676">
        <v>45</v>
      </c>
      <c r="D45" s="676" t="s">
        <v>59</v>
      </c>
      <c r="E45" s="521">
        <v>4599</v>
      </c>
      <c r="F45" s="116" t="s">
        <v>86</v>
      </c>
      <c r="G45" s="521" t="s">
        <v>219</v>
      </c>
      <c r="H45" s="116" t="s">
        <v>220</v>
      </c>
      <c r="I45" s="521" t="s">
        <v>221</v>
      </c>
      <c r="J45" s="116" t="s">
        <v>222</v>
      </c>
      <c r="K45" s="521">
        <v>13</v>
      </c>
      <c r="L45" s="521"/>
      <c r="M45" s="521">
        <f t="shared" si="5"/>
        <v>13</v>
      </c>
      <c r="N45" s="117">
        <v>2024003630038</v>
      </c>
      <c r="O45" s="116" t="s">
        <v>223</v>
      </c>
      <c r="P45" s="514" t="s">
        <v>229</v>
      </c>
      <c r="Q45" s="677">
        <v>10000000</v>
      </c>
      <c r="R45" s="678">
        <v>3000000</v>
      </c>
      <c r="S45" s="679"/>
      <c r="T45" s="679"/>
      <c r="U45" s="104">
        <f t="shared" si="1"/>
        <v>7000000</v>
      </c>
      <c r="V45" s="680" t="s">
        <v>225</v>
      </c>
      <c r="W45" s="112">
        <v>20</v>
      </c>
      <c r="X45" s="113" t="s">
        <v>167</v>
      </c>
      <c r="Y45" s="521">
        <v>293304</v>
      </c>
      <c r="Z45" s="521">
        <v>272744</v>
      </c>
      <c r="AA45" s="521">
        <v>99059</v>
      </c>
      <c r="AB45" s="521">
        <v>36139</v>
      </c>
      <c r="AC45" s="521">
        <v>314186</v>
      </c>
      <c r="AD45" s="521">
        <v>116664</v>
      </c>
      <c r="AE45" s="521">
        <v>3247</v>
      </c>
      <c r="AF45" s="521">
        <v>6804</v>
      </c>
      <c r="AG45" s="521">
        <v>25</v>
      </c>
      <c r="AH45" s="521">
        <v>7</v>
      </c>
      <c r="AI45" s="521"/>
      <c r="AJ45" s="521"/>
      <c r="AK45" s="521"/>
      <c r="AL45" s="521">
        <v>28554</v>
      </c>
      <c r="AM45" s="521">
        <v>53914</v>
      </c>
      <c r="AN45" s="521">
        <f t="shared" si="6"/>
        <v>566048</v>
      </c>
      <c r="AO45" s="106">
        <v>46023</v>
      </c>
      <c r="AP45" s="681">
        <v>46387</v>
      </c>
      <c r="AQ45" s="521" t="s">
        <v>208</v>
      </c>
    </row>
    <row r="46" spans="1:43" s="118" customFormat="1" ht="108" customHeight="1">
      <c r="A46" s="521">
        <v>4</v>
      </c>
      <c r="B46" s="116" t="s">
        <v>58</v>
      </c>
      <c r="C46" s="676">
        <v>45</v>
      </c>
      <c r="D46" s="676" t="s">
        <v>59</v>
      </c>
      <c r="E46" s="521">
        <v>4599</v>
      </c>
      <c r="F46" s="116" t="s">
        <v>86</v>
      </c>
      <c r="G46" s="521">
        <v>4599031</v>
      </c>
      <c r="H46" s="116" t="s">
        <v>162</v>
      </c>
      <c r="I46" s="521">
        <v>459903101</v>
      </c>
      <c r="J46" s="116" t="s">
        <v>230</v>
      </c>
      <c r="K46" s="521">
        <v>12</v>
      </c>
      <c r="L46" s="521"/>
      <c r="M46" s="521">
        <f t="shared" si="5"/>
        <v>12</v>
      </c>
      <c r="N46" s="117">
        <v>2024003630041</v>
      </c>
      <c r="O46" s="116" t="s">
        <v>231</v>
      </c>
      <c r="P46" s="514" t="s">
        <v>232</v>
      </c>
      <c r="Q46" s="677">
        <v>20085000</v>
      </c>
      <c r="R46" s="678"/>
      <c r="S46" s="679"/>
      <c r="T46" s="679"/>
      <c r="U46" s="104">
        <f t="shared" si="1"/>
        <v>20085000</v>
      </c>
      <c r="V46" s="680" t="s">
        <v>233</v>
      </c>
      <c r="W46" s="112">
        <v>20</v>
      </c>
      <c r="X46" s="113" t="s">
        <v>167</v>
      </c>
      <c r="Y46" s="521">
        <v>293304</v>
      </c>
      <c r="Z46" s="521">
        <v>272744</v>
      </c>
      <c r="AA46" s="521">
        <v>99059</v>
      </c>
      <c r="AB46" s="521">
        <v>36139</v>
      </c>
      <c r="AC46" s="521">
        <v>314186</v>
      </c>
      <c r="AD46" s="521">
        <v>116664</v>
      </c>
      <c r="AE46" s="521">
        <v>3247</v>
      </c>
      <c r="AF46" s="521">
        <v>6804</v>
      </c>
      <c r="AG46" s="521">
        <v>25</v>
      </c>
      <c r="AH46" s="521">
        <v>7</v>
      </c>
      <c r="AI46" s="521"/>
      <c r="AJ46" s="521"/>
      <c r="AK46" s="521"/>
      <c r="AL46" s="521">
        <v>28554</v>
      </c>
      <c r="AM46" s="521">
        <v>53914</v>
      </c>
      <c r="AN46" s="521">
        <f t="shared" si="6"/>
        <v>566048</v>
      </c>
      <c r="AO46" s="106">
        <v>46023</v>
      </c>
      <c r="AP46" s="681">
        <v>46387</v>
      </c>
      <c r="AQ46" s="521" t="s">
        <v>208</v>
      </c>
    </row>
    <row r="47" spans="1:43" s="118" customFormat="1" ht="108" customHeight="1">
      <c r="A47" s="521">
        <v>4</v>
      </c>
      <c r="B47" s="116" t="s">
        <v>58</v>
      </c>
      <c r="C47" s="676">
        <v>45</v>
      </c>
      <c r="D47" s="676" t="s">
        <v>59</v>
      </c>
      <c r="E47" s="521">
        <v>4599</v>
      </c>
      <c r="F47" s="116" t="s">
        <v>86</v>
      </c>
      <c r="G47" s="521">
        <v>4599031</v>
      </c>
      <c r="H47" s="116" t="s">
        <v>162</v>
      </c>
      <c r="I47" s="521">
        <v>459903101</v>
      </c>
      <c r="J47" s="116" t="s">
        <v>230</v>
      </c>
      <c r="K47" s="521">
        <v>12</v>
      </c>
      <c r="L47" s="521"/>
      <c r="M47" s="521">
        <f t="shared" si="5"/>
        <v>12</v>
      </c>
      <c r="N47" s="117">
        <v>2024003630041</v>
      </c>
      <c r="O47" s="116" t="s">
        <v>231</v>
      </c>
      <c r="P47" s="514" t="s">
        <v>234</v>
      </c>
      <c r="Q47" s="677">
        <v>44850000</v>
      </c>
      <c r="R47" s="678">
        <f>14800000+14800000</f>
        <v>29600000</v>
      </c>
      <c r="S47" s="679"/>
      <c r="T47" s="679"/>
      <c r="U47" s="104">
        <f t="shared" si="1"/>
        <v>15250000</v>
      </c>
      <c r="V47" s="680" t="s">
        <v>233</v>
      </c>
      <c r="W47" s="112">
        <v>20</v>
      </c>
      <c r="X47" s="113" t="s">
        <v>167</v>
      </c>
      <c r="Y47" s="521">
        <v>293304</v>
      </c>
      <c r="Z47" s="521">
        <v>272744</v>
      </c>
      <c r="AA47" s="521">
        <v>99059</v>
      </c>
      <c r="AB47" s="521">
        <v>36139</v>
      </c>
      <c r="AC47" s="521">
        <v>314186</v>
      </c>
      <c r="AD47" s="521">
        <v>116664</v>
      </c>
      <c r="AE47" s="521">
        <v>3247</v>
      </c>
      <c r="AF47" s="521">
        <v>6804</v>
      </c>
      <c r="AG47" s="521">
        <v>25</v>
      </c>
      <c r="AH47" s="521">
        <v>7</v>
      </c>
      <c r="AI47" s="521"/>
      <c r="AJ47" s="521"/>
      <c r="AK47" s="521"/>
      <c r="AL47" s="521">
        <v>28554</v>
      </c>
      <c r="AM47" s="521">
        <v>53914</v>
      </c>
      <c r="AN47" s="521">
        <f t="shared" si="6"/>
        <v>566048</v>
      </c>
      <c r="AO47" s="106">
        <v>46023</v>
      </c>
      <c r="AP47" s="681">
        <v>46387</v>
      </c>
      <c r="AQ47" s="116" t="s">
        <v>235</v>
      </c>
    </row>
    <row r="48" spans="1:43" s="118" customFormat="1" ht="108" customHeight="1">
      <c r="A48" s="521">
        <v>4</v>
      </c>
      <c r="B48" s="116" t="s">
        <v>58</v>
      </c>
      <c r="C48" s="676">
        <v>45</v>
      </c>
      <c r="D48" s="676" t="s">
        <v>59</v>
      </c>
      <c r="E48" s="521">
        <v>4599</v>
      </c>
      <c r="F48" s="116" t="s">
        <v>86</v>
      </c>
      <c r="G48" s="521">
        <v>4599031</v>
      </c>
      <c r="H48" s="116" t="s">
        <v>162</v>
      </c>
      <c r="I48" s="521">
        <v>459903101</v>
      </c>
      <c r="J48" s="116" t="s">
        <v>230</v>
      </c>
      <c r="K48" s="521">
        <v>12</v>
      </c>
      <c r="L48" s="521"/>
      <c r="M48" s="521">
        <f t="shared" si="5"/>
        <v>12</v>
      </c>
      <c r="N48" s="117">
        <v>2024003630041</v>
      </c>
      <c r="O48" s="116" t="s">
        <v>231</v>
      </c>
      <c r="P48" s="514" t="s">
        <v>236</v>
      </c>
      <c r="Q48" s="677">
        <v>40170000</v>
      </c>
      <c r="R48" s="678"/>
      <c r="S48" s="679"/>
      <c r="T48" s="679"/>
      <c r="U48" s="104">
        <f t="shared" si="1"/>
        <v>40170000</v>
      </c>
      <c r="V48" s="680" t="s">
        <v>233</v>
      </c>
      <c r="W48" s="112">
        <v>20</v>
      </c>
      <c r="X48" s="113" t="s">
        <v>167</v>
      </c>
      <c r="Y48" s="521">
        <v>293304</v>
      </c>
      <c r="Z48" s="521">
        <v>272744</v>
      </c>
      <c r="AA48" s="521">
        <v>99059</v>
      </c>
      <c r="AB48" s="521">
        <v>36139</v>
      </c>
      <c r="AC48" s="521">
        <v>314186</v>
      </c>
      <c r="AD48" s="521">
        <v>116664</v>
      </c>
      <c r="AE48" s="521">
        <v>3247</v>
      </c>
      <c r="AF48" s="521">
        <v>6804</v>
      </c>
      <c r="AG48" s="521">
        <v>25</v>
      </c>
      <c r="AH48" s="521">
        <v>7</v>
      </c>
      <c r="AI48" s="521"/>
      <c r="AJ48" s="521"/>
      <c r="AK48" s="521"/>
      <c r="AL48" s="521">
        <v>28554</v>
      </c>
      <c r="AM48" s="521">
        <v>53914</v>
      </c>
      <c r="AN48" s="521">
        <f t="shared" si="6"/>
        <v>566048</v>
      </c>
      <c r="AO48" s="106">
        <v>46023</v>
      </c>
      <c r="AP48" s="681">
        <v>46387</v>
      </c>
      <c r="AQ48" s="116" t="s">
        <v>235</v>
      </c>
    </row>
    <row r="49" spans="1:43" s="118" customFormat="1" ht="108" customHeight="1">
      <c r="A49" s="521">
        <v>4</v>
      </c>
      <c r="B49" s="116" t="s">
        <v>58</v>
      </c>
      <c r="C49" s="676">
        <v>45</v>
      </c>
      <c r="D49" s="676" t="s">
        <v>59</v>
      </c>
      <c r="E49" s="521">
        <v>4599</v>
      </c>
      <c r="F49" s="116" t="s">
        <v>86</v>
      </c>
      <c r="G49" s="521">
        <v>4599031</v>
      </c>
      <c r="H49" s="116" t="s">
        <v>162</v>
      </c>
      <c r="I49" s="521">
        <v>459903101</v>
      </c>
      <c r="J49" s="116" t="s">
        <v>230</v>
      </c>
      <c r="K49" s="521">
        <v>12</v>
      </c>
      <c r="L49" s="521"/>
      <c r="M49" s="521">
        <f t="shared" si="5"/>
        <v>12</v>
      </c>
      <c r="N49" s="117">
        <v>2024003630041</v>
      </c>
      <c r="O49" s="116" t="s">
        <v>231</v>
      </c>
      <c r="P49" s="514" t="s">
        <v>237</v>
      </c>
      <c r="Q49" s="677">
        <v>39860000</v>
      </c>
      <c r="R49" s="678"/>
      <c r="S49" s="679"/>
      <c r="T49" s="679"/>
      <c r="U49" s="104">
        <f t="shared" si="1"/>
        <v>39860000</v>
      </c>
      <c r="V49" s="680" t="s">
        <v>233</v>
      </c>
      <c r="W49" s="112">
        <v>20</v>
      </c>
      <c r="X49" s="113" t="s">
        <v>167</v>
      </c>
      <c r="Y49" s="521">
        <v>293304</v>
      </c>
      <c r="Z49" s="521">
        <v>272744</v>
      </c>
      <c r="AA49" s="521">
        <v>99059</v>
      </c>
      <c r="AB49" s="521">
        <v>36139</v>
      </c>
      <c r="AC49" s="521">
        <v>314186</v>
      </c>
      <c r="AD49" s="521">
        <v>116664</v>
      </c>
      <c r="AE49" s="521">
        <v>3247</v>
      </c>
      <c r="AF49" s="521">
        <v>6804</v>
      </c>
      <c r="AG49" s="521">
        <v>25</v>
      </c>
      <c r="AH49" s="521">
        <v>7</v>
      </c>
      <c r="AI49" s="521"/>
      <c r="AJ49" s="521"/>
      <c r="AK49" s="521"/>
      <c r="AL49" s="521">
        <v>28554</v>
      </c>
      <c r="AM49" s="521">
        <v>53914</v>
      </c>
      <c r="AN49" s="521">
        <f t="shared" si="6"/>
        <v>566048</v>
      </c>
      <c r="AO49" s="106">
        <v>46023</v>
      </c>
      <c r="AP49" s="681">
        <v>46387</v>
      </c>
      <c r="AQ49" s="116" t="s">
        <v>235</v>
      </c>
    </row>
    <row r="50" spans="1:43" s="118" customFormat="1" ht="108" customHeight="1">
      <c r="A50" s="521">
        <v>4</v>
      </c>
      <c r="B50" s="116" t="s">
        <v>58</v>
      </c>
      <c r="C50" s="676">
        <v>45</v>
      </c>
      <c r="D50" s="676" t="s">
        <v>59</v>
      </c>
      <c r="E50" s="521">
        <v>4599</v>
      </c>
      <c r="F50" s="116" t="s">
        <v>86</v>
      </c>
      <c r="G50" s="521">
        <v>4599031</v>
      </c>
      <c r="H50" s="116" t="s">
        <v>162</v>
      </c>
      <c r="I50" s="521">
        <v>459903101</v>
      </c>
      <c r="J50" s="116" t="s">
        <v>230</v>
      </c>
      <c r="K50" s="521">
        <v>12</v>
      </c>
      <c r="L50" s="521"/>
      <c r="M50" s="521">
        <f t="shared" si="5"/>
        <v>12</v>
      </c>
      <c r="N50" s="117">
        <v>2024003630041</v>
      </c>
      <c r="O50" s="116" t="s">
        <v>231</v>
      </c>
      <c r="P50" s="514" t="s">
        <v>238</v>
      </c>
      <c r="Q50" s="677">
        <v>34515000</v>
      </c>
      <c r="R50" s="678"/>
      <c r="S50" s="679"/>
      <c r="T50" s="679"/>
      <c r="U50" s="104">
        <f t="shared" si="1"/>
        <v>34515000</v>
      </c>
      <c r="V50" s="680" t="s">
        <v>233</v>
      </c>
      <c r="W50" s="112">
        <v>20</v>
      </c>
      <c r="X50" s="113" t="s">
        <v>167</v>
      </c>
      <c r="Y50" s="521">
        <v>293304</v>
      </c>
      <c r="Z50" s="521">
        <v>272744</v>
      </c>
      <c r="AA50" s="521">
        <v>99059</v>
      </c>
      <c r="AB50" s="521">
        <v>36139</v>
      </c>
      <c r="AC50" s="521">
        <v>314186</v>
      </c>
      <c r="AD50" s="521">
        <v>116664</v>
      </c>
      <c r="AE50" s="521">
        <v>3247</v>
      </c>
      <c r="AF50" s="521">
        <v>6804</v>
      </c>
      <c r="AG50" s="521">
        <v>25</v>
      </c>
      <c r="AH50" s="521">
        <v>7</v>
      </c>
      <c r="AI50" s="521"/>
      <c r="AJ50" s="521"/>
      <c r="AK50" s="521"/>
      <c r="AL50" s="521">
        <v>28554</v>
      </c>
      <c r="AM50" s="521">
        <v>53914</v>
      </c>
      <c r="AN50" s="521">
        <f t="shared" si="6"/>
        <v>566048</v>
      </c>
      <c r="AO50" s="106">
        <v>46023</v>
      </c>
      <c r="AP50" s="681">
        <v>46387</v>
      </c>
      <c r="AQ50" s="116" t="s">
        <v>235</v>
      </c>
    </row>
    <row r="51" spans="1:43" s="118" customFormat="1" ht="108" customHeight="1">
      <c r="A51" s="521">
        <v>4</v>
      </c>
      <c r="B51" s="116" t="s">
        <v>58</v>
      </c>
      <c r="C51" s="676">
        <v>45</v>
      </c>
      <c r="D51" s="676" t="s">
        <v>59</v>
      </c>
      <c r="E51" s="521">
        <v>4599</v>
      </c>
      <c r="F51" s="116" t="s">
        <v>86</v>
      </c>
      <c r="G51" s="521">
        <v>4599031</v>
      </c>
      <c r="H51" s="116" t="s">
        <v>162</v>
      </c>
      <c r="I51" s="521">
        <v>459903101</v>
      </c>
      <c r="J51" s="116" t="s">
        <v>230</v>
      </c>
      <c r="K51" s="521">
        <v>12</v>
      </c>
      <c r="L51" s="521"/>
      <c r="M51" s="521">
        <f t="shared" si="5"/>
        <v>12</v>
      </c>
      <c r="N51" s="117">
        <v>2024003630041</v>
      </c>
      <c r="O51" s="116" t="s">
        <v>231</v>
      </c>
      <c r="P51" s="514" t="s">
        <v>239</v>
      </c>
      <c r="Q51" s="677">
        <v>44850000</v>
      </c>
      <c r="R51" s="678">
        <v>16000000</v>
      </c>
      <c r="S51" s="679"/>
      <c r="T51" s="679"/>
      <c r="U51" s="104">
        <f t="shared" si="1"/>
        <v>28850000</v>
      </c>
      <c r="V51" s="680" t="s">
        <v>233</v>
      </c>
      <c r="W51" s="112">
        <v>20</v>
      </c>
      <c r="X51" s="113" t="s">
        <v>167</v>
      </c>
      <c r="Y51" s="521">
        <v>293304</v>
      </c>
      <c r="Z51" s="521">
        <v>272744</v>
      </c>
      <c r="AA51" s="521">
        <v>99059</v>
      </c>
      <c r="AB51" s="521">
        <v>36139</v>
      </c>
      <c r="AC51" s="521">
        <v>314186</v>
      </c>
      <c r="AD51" s="521">
        <v>116664</v>
      </c>
      <c r="AE51" s="521">
        <v>3247</v>
      </c>
      <c r="AF51" s="521">
        <v>6804</v>
      </c>
      <c r="AG51" s="521">
        <v>25</v>
      </c>
      <c r="AH51" s="521">
        <v>7</v>
      </c>
      <c r="AI51" s="521"/>
      <c r="AJ51" s="521"/>
      <c r="AK51" s="521"/>
      <c r="AL51" s="521">
        <v>28554</v>
      </c>
      <c r="AM51" s="521">
        <v>53914</v>
      </c>
      <c r="AN51" s="521">
        <f t="shared" si="6"/>
        <v>566048</v>
      </c>
      <c r="AO51" s="106">
        <v>46023</v>
      </c>
      <c r="AP51" s="681">
        <v>46387</v>
      </c>
      <c r="AQ51" s="116" t="s">
        <v>235</v>
      </c>
    </row>
    <row r="52" spans="1:43" s="118" customFormat="1" ht="108" customHeight="1">
      <c r="A52" s="521">
        <v>4</v>
      </c>
      <c r="B52" s="116" t="s">
        <v>58</v>
      </c>
      <c r="C52" s="676">
        <v>45</v>
      </c>
      <c r="D52" s="676" t="s">
        <v>59</v>
      </c>
      <c r="E52" s="521">
        <v>4599</v>
      </c>
      <c r="F52" s="116" t="s">
        <v>86</v>
      </c>
      <c r="G52" s="521">
        <v>4599031</v>
      </c>
      <c r="H52" s="116" t="s">
        <v>162</v>
      </c>
      <c r="I52" s="521">
        <v>459903101</v>
      </c>
      <c r="J52" s="116" t="s">
        <v>230</v>
      </c>
      <c r="K52" s="521">
        <v>12</v>
      </c>
      <c r="L52" s="521"/>
      <c r="M52" s="521">
        <f t="shared" si="5"/>
        <v>12</v>
      </c>
      <c r="N52" s="117">
        <v>2024003630041</v>
      </c>
      <c r="O52" s="116" t="s">
        <v>231</v>
      </c>
      <c r="P52" s="514" t="s">
        <v>240</v>
      </c>
      <c r="Q52" s="677">
        <v>44850000</v>
      </c>
      <c r="R52" s="678">
        <v>16000000</v>
      </c>
      <c r="S52" s="679"/>
      <c r="T52" s="679"/>
      <c r="U52" s="104">
        <f t="shared" si="1"/>
        <v>28850000</v>
      </c>
      <c r="V52" s="680" t="s">
        <v>233</v>
      </c>
      <c r="W52" s="112">
        <v>20</v>
      </c>
      <c r="X52" s="113" t="s">
        <v>167</v>
      </c>
      <c r="Y52" s="521">
        <v>293304</v>
      </c>
      <c r="Z52" s="521">
        <v>272744</v>
      </c>
      <c r="AA52" s="521">
        <v>99059</v>
      </c>
      <c r="AB52" s="521">
        <v>36139</v>
      </c>
      <c r="AC52" s="521">
        <v>314186</v>
      </c>
      <c r="AD52" s="521">
        <v>116664</v>
      </c>
      <c r="AE52" s="521">
        <v>3247</v>
      </c>
      <c r="AF52" s="521">
        <v>6804</v>
      </c>
      <c r="AG52" s="521">
        <v>25</v>
      </c>
      <c r="AH52" s="521">
        <v>7</v>
      </c>
      <c r="AI52" s="521"/>
      <c r="AJ52" s="521"/>
      <c r="AK52" s="521"/>
      <c r="AL52" s="521">
        <v>28554</v>
      </c>
      <c r="AM52" s="521">
        <v>53914</v>
      </c>
      <c r="AN52" s="521">
        <f t="shared" si="6"/>
        <v>566048</v>
      </c>
      <c r="AO52" s="106">
        <v>46023</v>
      </c>
      <c r="AP52" s="681">
        <v>46387</v>
      </c>
      <c r="AQ52" s="116" t="s">
        <v>235</v>
      </c>
    </row>
    <row r="53" spans="1:43" s="118" customFormat="1" ht="108" customHeight="1">
      <c r="A53" s="521">
        <v>4</v>
      </c>
      <c r="B53" s="116" t="s">
        <v>58</v>
      </c>
      <c r="C53" s="676">
        <v>45</v>
      </c>
      <c r="D53" s="676" t="s">
        <v>59</v>
      </c>
      <c r="E53" s="521">
        <v>4599</v>
      </c>
      <c r="F53" s="116" t="s">
        <v>86</v>
      </c>
      <c r="G53" s="521">
        <v>4599031</v>
      </c>
      <c r="H53" s="116" t="s">
        <v>162</v>
      </c>
      <c r="I53" s="521">
        <v>459903101</v>
      </c>
      <c r="J53" s="116" t="s">
        <v>230</v>
      </c>
      <c r="K53" s="521">
        <v>12</v>
      </c>
      <c r="L53" s="521"/>
      <c r="M53" s="521">
        <f t="shared" si="5"/>
        <v>12</v>
      </c>
      <c r="N53" s="117">
        <v>2024003630041</v>
      </c>
      <c r="O53" s="116" t="s">
        <v>231</v>
      </c>
      <c r="P53" s="514" t="s">
        <v>241</v>
      </c>
      <c r="Q53" s="677">
        <v>14820000</v>
      </c>
      <c r="R53" s="678"/>
      <c r="S53" s="679"/>
      <c r="T53" s="679"/>
      <c r="U53" s="104">
        <f t="shared" si="1"/>
        <v>14820000</v>
      </c>
      <c r="V53" s="680" t="s">
        <v>233</v>
      </c>
      <c r="W53" s="112">
        <v>20</v>
      </c>
      <c r="X53" s="113" t="s">
        <v>167</v>
      </c>
      <c r="Y53" s="521">
        <v>293304</v>
      </c>
      <c r="Z53" s="521">
        <v>272744</v>
      </c>
      <c r="AA53" s="521">
        <v>99059</v>
      </c>
      <c r="AB53" s="521">
        <v>36139</v>
      </c>
      <c r="AC53" s="521">
        <v>314186</v>
      </c>
      <c r="AD53" s="521">
        <v>116664</v>
      </c>
      <c r="AE53" s="521">
        <v>3247</v>
      </c>
      <c r="AF53" s="521">
        <v>6804</v>
      </c>
      <c r="AG53" s="521">
        <v>25</v>
      </c>
      <c r="AH53" s="521">
        <v>7</v>
      </c>
      <c r="AI53" s="521"/>
      <c r="AJ53" s="521"/>
      <c r="AK53" s="521"/>
      <c r="AL53" s="521">
        <v>28554</v>
      </c>
      <c r="AM53" s="521">
        <v>53914</v>
      </c>
      <c r="AN53" s="521">
        <f t="shared" si="6"/>
        <v>566048</v>
      </c>
      <c r="AO53" s="106">
        <v>46023</v>
      </c>
      <c r="AP53" s="681">
        <v>46387</v>
      </c>
      <c r="AQ53" s="116" t="s">
        <v>235</v>
      </c>
    </row>
    <row r="54" spans="1:43" s="118" customFormat="1" ht="108" customHeight="1">
      <c r="A54" s="521">
        <v>4</v>
      </c>
      <c r="B54" s="116" t="s">
        <v>58</v>
      </c>
      <c r="C54" s="676">
        <v>45</v>
      </c>
      <c r="D54" s="676" t="s">
        <v>59</v>
      </c>
      <c r="E54" s="521">
        <v>4502</v>
      </c>
      <c r="F54" s="116" t="s">
        <v>97</v>
      </c>
      <c r="G54" s="521">
        <v>4502001</v>
      </c>
      <c r="H54" s="116" t="s">
        <v>183</v>
      </c>
      <c r="I54" s="521" t="s">
        <v>242</v>
      </c>
      <c r="J54" s="116" t="s">
        <v>243</v>
      </c>
      <c r="K54" s="521">
        <v>12</v>
      </c>
      <c r="L54" s="521"/>
      <c r="M54" s="521">
        <f t="shared" si="5"/>
        <v>12</v>
      </c>
      <c r="N54" s="117">
        <v>2024003630130</v>
      </c>
      <c r="O54" s="116" t="s">
        <v>244</v>
      </c>
      <c r="P54" s="514" t="s">
        <v>245</v>
      </c>
      <c r="Q54" s="677">
        <v>18000000</v>
      </c>
      <c r="R54" s="678"/>
      <c r="S54" s="679"/>
      <c r="T54" s="679"/>
      <c r="U54" s="104">
        <f t="shared" si="1"/>
        <v>18000000</v>
      </c>
      <c r="V54" s="680" t="s">
        <v>246</v>
      </c>
      <c r="W54" s="112">
        <v>20</v>
      </c>
      <c r="X54" s="113" t="s">
        <v>167</v>
      </c>
      <c r="Y54" s="521">
        <v>293304</v>
      </c>
      <c r="Z54" s="521">
        <v>272744</v>
      </c>
      <c r="AA54" s="521">
        <v>99059</v>
      </c>
      <c r="AB54" s="521">
        <v>36139</v>
      </c>
      <c r="AC54" s="521">
        <v>314186</v>
      </c>
      <c r="AD54" s="521">
        <v>116664</v>
      </c>
      <c r="AE54" s="521">
        <v>3247</v>
      </c>
      <c r="AF54" s="521">
        <v>6804</v>
      </c>
      <c r="AG54" s="521">
        <v>25</v>
      </c>
      <c r="AH54" s="521">
        <v>7</v>
      </c>
      <c r="AI54" s="521"/>
      <c r="AJ54" s="521"/>
      <c r="AK54" s="521"/>
      <c r="AL54" s="521">
        <v>28554</v>
      </c>
      <c r="AM54" s="521">
        <v>53914</v>
      </c>
      <c r="AN54" s="521">
        <f t="shared" si="6"/>
        <v>566048</v>
      </c>
      <c r="AO54" s="106">
        <v>46023</v>
      </c>
      <c r="AP54" s="681">
        <v>46387</v>
      </c>
      <c r="AQ54" s="521" t="s">
        <v>208</v>
      </c>
    </row>
    <row r="55" spans="1:43" s="118" customFormat="1" ht="108" customHeight="1">
      <c r="A55" s="521">
        <v>4</v>
      </c>
      <c r="B55" s="116" t="s">
        <v>58</v>
      </c>
      <c r="C55" s="676">
        <v>45</v>
      </c>
      <c r="D55" s="676" t="s">
        <v>59</v>
      </c>
      <c r="E55" s="521">
        <v>4502</v>
      </c>
      <c r="F55" s="116" t="s">
        <v>97</v>
      </c>
      <c r="G55" s="521">
        <v>4502001</v>
      </c>
      <c r="H55" s="116" t="s">
        <v>183</v>
      </c>
      <c r="I55" s="521" t="s">
        <v>242</v>
      </c>
      <c r="J55" s="116" t="s">
        <v>243</v>
      </c>
      <c r="K55" s="521">
        <v>12</v>
      </c>
      <c r="L55" s="521"/>
      <c r="M55" s="521">
        <f t="shared" si="5"/>
        <v>12</v>
      </c>
      <c r="N55" s="117">
        <v>2024003630130</v>
      </c>
      <c r="O55" s="116" t="s">
        <v>244</v>
      </c>
      <c r="P55" s="514" t="s">
        <v>247</v>
      </c>
      <c r="Q55" s="677">
        <v>16000000</v>
      </c>
      <c r="R55" s="678"/>
      <c r="S55" s="679"/>
      <c r="T55" s="679"/>
      <c r="U55" s="104">
        <f t="shared" si="1"/>
        <v>16000000</v>
      </c>
      <c r="V55" s="680" t="s">
        <v>246</v>
      </c>
      <c r="W55" s="112">
        <v>20</v>
      </c>
      <c r="X55" s="113" t="s">
        <v>167</v>
      </c>
      <c r="Y55" s="521">
        <v>293304</v>
      </c>
      <c r="Z55" s="521">
        <v>272744</v>
      </c>
      <c r="AA55" s="521">
        <v>99059</v>
      </c>
      <c r="AB55" s="521">
        <v>36139</v>
      </c>
      <c r="AC55" s="521">
        <v>314186</v>
      </c>
      <c r="AD55" s="521">
        <v>116664</v>
      </c>
      <c r="AE55" s="521">
        <v>3247</v>
      </c>
      <c r="AF55" s="521">
        <v>6804</v>
      </c>
      <c r="AG55" s="521">
        <v>25</v>
      </c>
      <c r="AH55" s="521">
        <v>7</v>
      </c>
      <c r="AI55" s="521"/>
      <c r="AJ55" s="521"/>
      <c r="AK55" s="521"/>
      <c r="AL55" s="521">
        <v>28554</v>
      </c>
      <c r="AM55" s="521">
        <v>53914</v>
      </c>
      <c r="AN55" s="521">
        <f t="shared" si="6"/>
        <v>566048</v>
      </c>
      <c r="AO55" s="106">
        <v>46023</v>
      </c>
      <c r="AP55" s="681">
        <v>46387</v>
      </c>
      <c r="AQ55" s="521" t="s">
        <v>208</v>
      </c>
    </row>
    <row r="56" spans="1:43" s="118" customFormat="1" ht="108" customHeight="1">
      <c r="A56" s="521">
        <v>4</v>
      </c>
      <c r="B56" s="116" t="s">
        <v>58</v>
      </c>
      <c r="C56" s="676">
        <v>45</v>
      </c>
      <c r="D56" s="676" t="s">
        <v>59</v>
      </c>
      <c r="E56" s="521">
        <v>4502</v>
      </c>
      <c r="F56" s="116" t="s">
        <v>97</v>
      </c>
      <c r="G56" s="521">
        <v>4502001</v>
      </c>
      <c r="H56" s="116" t="s">
        <v>183</v>
      </c>
      <c r="I56" s="521" t="s">
        <v>242</v>
      </c>
      <c r="J56" s="116" t="s">
        <v>243</v>
      </c>
      <c r="K56" s="521">
        <v>12</v>
      </c>
      <c r="L56" s="521"/>
      <c r="M56" s="521">
        <f t="shared" si="5"/>
        <v>12</v>
      </c>
      <c r="N56" s="117">
        <v>2024003630130</v>
      </c>
      <c r="O56" s="116" t="s">
        <v>244</v>
      </c>
      <c r="P56" s="514" t="s">
        <v>248</v>
      </c>
      <c r="Q56" s="677">
        <v>6000000</v>
      </c>
      <c r="R56" s="678"/>
      <c r="S56" s="679"/>
      <c r="T56" s="679"/>
      <c r="U56" s="104">
        <f t="shared" si="1"/>
        <v>6000000</v>
      </c>
      <c r="V56" s="680" t="s">
        <v>246</v>
      </c>
      <c r="W56" s="112">
        <v>20</v>
      </c>
      <c r="X56" s="113" t="s">
        <v>167</v>
      </c>
      <c r="Y56" s="521">
        <v>293304</v>
      </c>
      <c r="Z56" s="521">
        <v>272744</v>
      </c>
      <c r="AA56" s="521">
        <v>99059</v>
      </c>
      <c r="AB56" s="521">
        <v>36139</v>
      </c>
      <c r="AC56" s="521">
        <v>314186</v>
      </c>
      <c r="AD56" s="521">
        <v>116664</v>
      </c>
      <c r="AE56" s="521">
        <v>3247</v>
      </c>
      <c r="AF56" s="521">
        <v>6804</v>
      </c>
      <c r="AG56" s="521">
        <v>25</v>
      </c>
      <c r="AH56" s="521">
        <v>7</v>
      </c>
      <c r="AI56" s="521"/>
      <c r="AJ56" s="521"/>
      <c r="AK56" s="521"/>
      <c r="AL56" s="521">
        <v>28554</v>
      </c>
      <c r="AM56" s="521">
        <v>53914</v>
      </c>
      <c r="AN56" s="521">
        <f t="shared" si="6"/>
        <v>566048</v>
      </c>
      <c r="AO56" s="106">
        <v>46023</v>
      </c>
      <c r="AP56" s="681">
        <v>46387</v>
      </c>
      <c r="AQ56" s="521" t="s">
        <v>208</v>
      </c>
    </row>
    <row r="57" spans="1:43" s="118" customFormat="1" ht="108" customHeight="1">
      <c r="A57" s="521">
        <v>4</v>
      </c>
      <c r="B57" s="116" t="s">
        <v>58</v>
      </c>
      <c r="C57" s="676">
        <v>45</v>
      </c>
      <c r="D57" s="676" t="s">
        <v>59</v>
      </c>
      <c r="E57" s="521">
        <v>4502</v>
      </c>
      <c r="F57" s="116" t="s">
        <v>97</v>
      </c>
      <c r="G57" s="521">
        <v>4502001</v>
      </c>
      <c r="H57" s="116" t="s">
        <v>183</v>
      </c>
      <c r="I57" s="521" t="s">
        <v>242</v>
      </c>
      <c r="J57" s="116" t="s">
        <v>243</v>
      </c>
      <c r="K57" s="521">
        <v>12</v>
      </c>
      <c r="L57" s="521"/>
      <c r="M57" s="521">
        <f t="shared" si="5"/>
        <v>12</v>
      </c>
      <c r="N57" s="117">
        <v>2024003630130</v>
      </c>
      <c r="O57" s="116" t="s">
        <v>244</v>
      </c>
      <c r="P57" s="514" t="s">
        <v>249</v>
      </c>
      <c r="Q57" s="677">
        <v>10000000</v>
      </c>
      <c r="R57" s="678"/>
      <c r="S57" s="679"/>
      <c r="T57" s="679"/>
      <c r="U57" s="104">
        <f t="shared" si="1"/>
        <v>10000000</v>
      </c>
      <c r="V57" s="680" t="s">
        <v>250</v>
      </c>
      <c r="W57" s="112">
        <v>20</v>
      </c>
      <c r="X57" s="113" t="s">
        <v>167</v>
      </c>
      <c r="Y57" s="521">
        <v>293304</v>
      </c>
      <c r="Z57" s="521">
        <v>272744</v>
      </c>
      <c r="AA57" s="521">
        <v>99059</v>
      </c>
      <c r="AB57" s="521">
        <v>36139</v>
      </c>
      <c r="AC57" s="521">
        <v>314186</v>
      </c>
      <c r="AD57" s="521">
        <v>116664</v>
      </c>
      <c r="AE57" s="521">
        <v>3247</v>
      </c>
      <c r="AF57" s="521">
        <v>6804</v>
      </c>
      <c r="AG57" s="521">
        <v>25</v>
      </c>
      <c r="AH57" s="521">
        <v>7</v>
      </c>
      <c r="AI57" s="521"/>
      <c r="AJ57" s="521"/>
      <c r="AK57" s="521"/>
      <c r="AL57" s="521">
        <v>28554</v>
      </c>
      <c r="AM57" s="521">
        <v>53914</v>
      </c>
      <c r="AN57" s="521">
        <f t="shared" si="6"/>
        <v>566048</v>
      </c>
      <c r="AO57" s="106">
        <v>46023</v>
      </c>
      <c r="AP57" s="681">
        <v>46387</v>
      </c>
      <c r="AQ57" s="521" t="s">
        <v>208</v>
      </c>
    </row>
    <row r="58" spans="1:43" s="118" customFormat="1" ht="108" customHeight="1">
      <c r="A58" s="521">
        <v>4</v>
      </c>
      <c r="B58" s="116" t="s">
        <v>58</v>
      </c>
      <c r="C58" s="676">
        <v>45</v>
      </c>
      <c r="D58" s="676" t="s">
        <v>59</v>
      </c>
      <c r="E58" s="521">
        <v>4502</v>
      </c>
      <c r="F58" s="116" t="s">
        <v>97</v>
      </c>
      <c r="G58" s="521">
        <v>4502001</v>
      </c>
      <c r="H58" s="116" t="s">
        <v>183</v>
      </c>
      <c r="I58" s="521" t="s">
        <v>242</v>
      </c>
      <c r="J58" s="116" t="s">
        <v>243</v>
      </c>
      <c r="K58" s="521">
        <v>12</v>
      </c>
      <c r="L58" s="521"/>
      <c r="M58" s="521">
        <f t="shared" si="5"/>
        <v>12</v>
      </c>
      <c r="N58" s="117">
        <v>2024003630130</v>
      </c>
      <c r="O58" s="116" t="s">
        <v>244</v>
      </c>
      <c r="P58" s="514" t="s">
        <v>251</v>
      </c>
      <c r="Q58" s="677">
        <v>3000000</v>
      </c>
      <c r="R58" s="678"/>
      <c r="S58" s="679"/>
      <c r="T58" s="679"/>
      <c r="U58" s="104">
        <f t="shared" si="1"/>
        <v>3000000</v>
      </c>
      <c r="V58" s="680" t="s">
        <v>246</v>
      </c>
      <c r="W58" s="112">
        <v>20</v>
      </c>
      <c r="X58" s="113" t="s">
        <v>167</v>
      </c>
      <c r="Y58" s="521">
        <v>293304</v>
      </c>
      <c r="Z58" s="521">
        <v>272744</v>
      </c>
      <c r="AA58" s="521">
        <v>99059</v>
      </c>
      <c r="AB58" s="521">
        <v>36139</v>
      </c>
      <c r="AC58" s="521">
        <v>314186</v>
      </c>
      <c r="AD58" s="521">
        <v>116664</v>
      </c>
      <c r="AE58" s="521">
        <v>3247</v>
      </c>
      <c r="AF58" s="521">
        <v>6804</v>
      </c>
      <c r="AG58" s="521">
        <v>25</v>
      </c>
      <c r="AH58" s="521">
        <v>7</v>
      </c>
      <c r="AI58" s="521"/>
      <c r="AJ58" s="521"/>
      <c r="AK58" s="521"/>
      <c r="AL58" s="521">
        <v>28554</v>
      </c>
      <c r="AM58" s="521">
        <v>53914</v>
      </c>
      <c r="AN58" s="521">
        <f t="shared" si="6"/>
        <v>566048</v>
      </c>
      <c r="AO58" s="106">
        <v>46023</v>
      </c>
      <c r="AP58" s="681">
        <v>46387</v>
      </c>
      <c r="AQ58" s="521" t="s">
        <v>208</v>
      </c>
    </row>
    <row r="59" spans="1:43" s="17" customFormat="1" ht="27.6" customHeight="1" thickBot="1">
      <c r="A59" s="20"/>
      <c r="B59" s="21"/>
      <c r="C59" s="21"/>
      <c r="D59" s="21"/>
      <c r="E59" s="21"/>
      <c r="F59" s="21"/>
      <c r="G59" s="21"/>
      <c r="H59" s="21"/>
      <c r="I59" s="21"/>
      <c r="J59" s="21"/>
      <c r="K59" s="21"/>
      <c r="L59" s="21"/>
      <c r="M59" s="21"/>
      <c r="N59" s="21"/>
      <c r="O59" s="21"/>
      <c r="P59" s="26"/>
      <c r="Q59" s="27">
        <f>SUM(Q10:Q58)</f>
        <v>2136846335.21</v>
      </c>
      <c r="R59" s="30"/>
      <c r="S59" s="30"/>
      <c r="T59" s="30"/>
      <c r="U59" s="30"/>
      <c r="V59" s="21"/>
      <c r="W59" s="21"/>
      <c r="X59" s="21"/>
      <c r="Y59" s="21"/>
      <c r="Z59" s="21"/>
      <c r="AA59" s="21"/>
      <c r="AB59" s="21"/>
      <c r="AC59" s="21"/>
      <c r="AD59" s="21"/>
      <c r="AE59" s="21"/>
      <c r="AF59" s="21"/>
      <c r="AG59" s="21"/>
      <c r="AH59" s="21"/>
      <c r="AI59" s="21"/>
      <c r="AJ59" s="21"/>
      <c r="AK59" s="21"/>
      <c r="AL59" s="21"/>
      <c r="AM59" s="21"/>
      <c r="AN59" s="21"/>
      <c r="AO59" s="21"/>
      <c r="AP59" s="21"/>
      <c r="AQ59" s="22"/>
    </row>
    <row r="60" spans="1:43" s="17" customFormat="1" ht="14.25">
      <c r="W60" s="18"/>
      <c r="X60" s="18"/>
    </row>
    <row r="61" spans="1:43" s="17" customFormat="1" ht="14.25">
      <c r="W61" s="18"/>
      <c r="X61" s="18"/>
    </row>
    <row r="62" spans="1:43" s="17" customFormat="1" ht="14.25">
      <c r="W62" s="18"/>
      <c r="X62" s="18"/>
    </row>
    <row r="63" spans="1:43" s="17" customFormat="1" ht="14.25">
      <c r="W63" s="18"/>
      <c r="X63" s="18"/>
    </row>
    <row r="64" spans="1:43" s="17" customFormat="1">
      <c r="K64" s="980" t="s">
        <v>252</v>
      </c>
      <c r="L64" s="980"/>
      <c r="M64" s="980"/>
      <c r="N64" s="980"/>
      <c r="O64" s="980"/>
      <c r="P64" s="980"/>
      <c r="Q64" s="980"/>
      <c r="R64" s="37"/>
      <c r="S64" s="31"/>
      <c r="T64" s="31"/>
      <c r="U64" s="31"/>
      <c r="W64" s="18"/>
      <c r="X64" s="18"/>
    </row>
    <row r="65" spans="1:44">
      <c r="K65" s="981" t="s">
        <v>107</v>
      </c>
      <c r="L65" s="981"/>
      <c r="M65" s="981"/>
      <c r="N65" s="981"/>
      <c r="O65" s="981"/>
      <c r="P65" s="981"/>
      <c r="Q65" s="981"/>
      <c r="R65" s="38"/>
      <c r="S65" s="964"/>
      <c r="T65" s="964"/>
      <c r="U65" s="964"/>
    </row>
    <row r="66" spans="1:44">
      <c r="A66" s="17"/>
      <c r="B66" s="17"/>
      <c r="C66" s="17"/>
      <c r="D66" s="17"/>
      <c r="E66" s="17"/>
      <c r="F66" s="17"/>
      <c r="G66" s="17"/>
      <c r="H66" s="17"/>
      <c r="I66" s="17"/>
      <c r="J66" s="17"/>
      <c r="K66" s="17"/>
      <c r="L66" s="17"/>
      <c r="M66" s="17"/>
      <c r="N66" s="17"/>
      <c r="O66" s="17"/>
      <c r="P66" s="17"/>
      <c r="Q66" s="17"/>
      <c r="R66" s="17"/>
      <c r="S66" s="17"/>
      <c r="T66" s="17"/>
      <c r="U66" s="17"/>
      <c r="V66" s="17"/>
      <c r="W66" s="18"/>
      <c r="X66" s="18"/>
      <c r="Y66" s="17"/>
      <c r="Z66" s="17"/>
      <c r="AA66" s="17"/>
      <c r="AB66" s="17"/>
      <c r="AC66" s="17"/>
      <c r="AD66" s="17"/>
      <c r="AE66" s="17"/>
      <c r="AF66" s="17"/>
      <c r="AG66" s="17"/>
      <c r="AH66" s="17"/>
      <c r="AI66" s="17"/>
      <c r="AJ66" s="17"/>
      <c r="AK66" s="17"/>
      <c r="AL66" s="17"/>
      <c r="AM66" s="17"/>
      <c r="AN66" s="17"/>
      <c r="AO66" s="17"/>
      <c r="AP66" s="17"/>
      <c r="AQ66" s="17"/>
      <c r="AR66" s="17"/>
    </row>
    <row r="67" spans="1:44">
      <c r="A67" s="17"/>
      <c r="B67" s="17"/>
      <c r="C67" s="17"/>
      <c r="D67" s="17"/>
      <c r="E67" s="17"/>
      <c r="F67" s="17"/>
      <c r="G67" s="17"/>
      <c r="H67" s="17"/>
      <c r="I67" s="17"/>
      <c r="J67" s="17"/>
      <c r="K67" s="17"/>
      <c r="L67" s="17"/>
      <c r="M67" s="17"/>
      <c r="N67" s="17"/>
      <c r="O67" s="17"/>
      <c r="P67" s="17"/>
      <c r="Q67" s="17"/>
      <c r="R67" s="17"/>
      <c r="S67" s="17"/>
      <c r="T67" s="17"/>
      <c r="U67" s="17"/>
      <c r="V67" s="17"/>
      <c r="W67" s="18"/>
      <c r="X67" s="18"/>
      <c r="Y67" s="17"/>
      <c r="Z67" s="17"/>
      <c r="AA67" s="17"/>
      <c r="AB67" s="17"/>
      <c r="AC67" s="17"/>
      <c r="AD67" s="17"/>
      <c r="AE67" s="17"/>
      <c r="AF67" s="17"/>
      <c r="AG67" s="17"/>
      <c r="AH67" s="17"/>
      <c r="AI67" s="17"/>
      <c r="AJ67" s="17"/>
      <c r="AK67" s="17"/>
      <c r="AL67" s="17"/>
      <c r="AM67" s="17"/>
      <c r="AN67" s="17"/>
      <c r="AO67" s="17"/>
      <c r="AP67" s="17"/>
      <c r="AQ67" s="17"/>
      <c r="AR67" s="17"/>
    </row>
    <row r="68" spans="1:44">
      <c r="A68" s="17"/>
      <c r="B68" s="17"/>
      <c r="C68" s="17"/>
      <c r="D68" s="17"/>
      <c r="E68" s="17"/>
      <c r="F68" s="17"/>
      <c r="G68" s="979" t="s">
        <v>108</v>
      </c>
      <c r="H68" s="979"/>
      <c r="I68" s="982" t="s">
        <v>109</v>
      </c>
      <c r="J68" s="983"/>
      <c r="K68" s="984" t="s">
        <v>110</v>
      </c>
      <c r="L68" s="985"/>
      <c r="M68" s="985"/>
      <c r="N68" s="986"/>
      <c r="O68" s="17"/>
      <c r="P68" s="17"/>
      <c r="Q68" s="17"/>
      <c r="R68" s="17"/>
      <c r="S68" s="17"/>
      <c r="T68" s="17"/>
      <c r="U68" s="17"/>
      <c r="V68" s="17"/>
      <c r="W68" s="18"/>
      <c r="X68" s="18"/>
      <c r="Y68" s="17"/>
      <c r="Z68" s="17"/>
      <c r="AA68" s="17"/>
      <c r="AB68" s="17"/>
      <c r="AC68" s="17"/>
      <c r="AD68" s="17"/>
      <c r="AE68" s="17"/>
      <c r="AF68" s="17"/>
      <c r="AG68" s="17"/>
      <c r="AH68" s="17"/>
      <c r="AI68" s="17"/>
      <c r="AJ68" s="17"/>
      <c r="AK68" s="17"/>
      <c r="AL68" s="17"/>
      <c r="AM68" s="17"/>
      <c r="AN68" s="17"/>
      <c r="AO68" s="17"/>
      <c r="AP68" s="17"/>
      <c r="AQ68" s="17"/>
      <c r="AR68" s="17"/>
    </row>
    <row r="69" spans="1:44" ht="31.5" customHeight="1">
      <c r="A69" s="17"/>
      <c r="B69" s="17"/>
      <c r="C69" s="17"/>
      <c r="D69" s="17"/>
      <c r="E69" s="17"/>
      <c r="F69" s="17"/>
      <c r="G69" s="979" t="s">
        <v>111</v>
      </c>
      <c r="H69" s="979"/>
      <c r="I69" s="1017" t="s">
        <v>112</v>
      </c>
      <c r="J69" s="1018"/>
      <c r="K69" s="979" t="s">
        <v>113</v>
      </c>
      <c r="L69" s="979"/>
      <c r="M69" s="979"/>
      <c r="N69" s="979"/>
      <c r="O69" s="17"/>
      <c r="P69" s="17"/>
      <c r="Q69" s="17"/>
      <c r="R69" s="17"/>
      <c r="S69" s="17"/>
      <c r="T69" s="17"/>
      <c r="U69" s="17"/>
      <c r="V69" s="24"/>
      <c r="W69" s="18"/>
      <c r="X69" s="18"/>
      <c r="Y69" s="17"/>
      <c r="Z69" s="17"/>
      <c r="AA69" s="17"/>
      <c r="AB69" s="17"/>
      <c r="AC69" s="17"/>
      <c r="AD69" s="17"/>
      <c r="AE69" s="17"/>
      <c r="AF69" s="17"/>
      <c r="AG69" s="17"/>
      <c r="AH69" s="17"/>
      <c r="AI69" s="17"/>
      <c r="AJ69" s="17"/>
      <c r="AK69" s="17"/>
      <c r="AL69" s="17"/>
      <c r="AM69" s="17"/>
      <c r="AN69" s="17"/>
      <c r="AO69" s="17"/>
      <c r="AP69" s="17"/>
      <c r="AQ69" s="17"/>
      <c r="AR69" s="17"/>
    </row>
    <row r="70" spans="1:44" ht="25.5" customHeight="1">
      <c r="G70" s="979" t="s">
        <v>114</v>
      </c>
      <c r="H70" s="979"/>
      <c r="I70" s="979" t="s">
        <v>115</v>
      </c>
      <c r="J70" s="979"/>
      <c r="K70" s="979" t="s">
        <v>116</v>
      </c>
      <c r="L70" s="979"/>
      <c r="M70" s="979"/>
      <c r="N70" s="979"/>
    </row>
    <row r="71" spans="1:44">
      <c r="G71" s="19"/>
      <c r="H71" s="17"/>
      <c r="I71" s="17"/>
      <c r="J71" s="17"/>
    </row>
  </sheetData>
  <autoFilter ref="A9:BI59" xr:uid="{00000000-0001-0000-0300-000000000000}"/>
  <mergeCells count="32">
    <mergeCell ref="G69:H69"/>
    <mergeCell ref="I69:J69"/>
    <mergeCell ref="K69:N69"/>
    <mergeCell ref="G70:H70"/>
    <mergeCell ref="I70:J70"/>
    <mergeCell ref="K70:N70"/>
    <mergeCell ref="K64:Q64"/>
    <mergeCell ref="K65:Q65"/>
    <mergeCell ref="G68:H68"/>
    <mergeCell ref="I68:J68"/>
    <mergeCell ref="K68:N68"/>
    <mergeCell ref="AP7:AP9"/>
    <mergeCell ref="AQ7:AQ9"/>
    <mergeCell ref="V8:X8"/>
    <mergeCell ref="Y8:Z8"/>
    <mergeCell ref="AA8:AD8"/>
    <mergeCell ref="AE8:AJ8"/>
    <mergeCell ref="AK8:AM8"/>
    <mergeCell ref="AN8:AN9"/>
    <mergeCell ref="Y7:AN7"/>
    <mergeCell ref="A1:B6"/>
    <mergeCell ref="C1:AO1"/>
    <mergeCell ref="C2:AO4"/>
    <mergeCell ref="C5:AO6"/>
    <mergeCell ref="A7:B8"/>
    <mergeCell ref="C7:D8"/>
    <mergeCell ref="E7:F8"/>
    <mergeCell ref="G7:H8"/>
    <mergeCell ref="I7:J8"/>
    <mergeCell ref="K7:M8"/>
    <mergeCell ref="AO7:AO9"/>
    <mergeCell ref="N7:Q8"/>
  </mergeCells>
  <pageMargins left="0.25" right="0.25" top="0.75" bottom="0.75" header="0.3" footer="0.3"/>
  <pageSetup scale="22" fitToHeight="6"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I129"/>
  <sheetViews>
    <sheetView tabSelected="1" topLeftCell="D1" zoomScale="70" zoomScaleNormal="70" zoomScaleSheetLayoutView="70" workbookViewId="0">
      <pane ySplit="9" topLeftCell="I89" activePane="bottomLeft" state="frozen"/>
      <selection pane="bottomLeft" activeCell="R97" sqref="R97"/>
    </sheetView>
  </sheetViews>
  <sheetFormatPr defaultColWidth="11.42578125" defaultRowHeight="15" customHeight="1"/>
  <cols>
    <col min="1" max="1" width="12.28515625" customWidth="1"/>
    <col min="2" max="2" width="23.7109375" style="415" customWidth="1"/>
    <col min="3" max="3" width="9.42578125" customWidth="1"/>
    <col min="4" max="4" width="13.28515625" customWidth="1"/>
    <col min="5" max="5" width="9.7109375" customWidth="1"/>
    <col min="6" max="6" width="19" customWidth="1"/>
    <col min="7" max="7" width="13.7109375" style="415" customWidth="1"/>
    <col min="8" max="8" width="19.140625" style="415" customWidth="1"/>
    <col min="9" max="9" width="13.7109375" style="415" customWidth="1"/>
    <col min="10" max="10" width="19" style="415" customWidth="1"/>
    <col min="11" max="13" width="15.7109375" customWidth="1"/>
    <col min="14" max="14" width="17.42578125" customWidth="1"/>
    <col min="15" max="15" width="40" customWidth="1"/>
    <col min="16" max="16" width="30.42578125" customWidth="1"/>
    <col min="17" max="17" width="20.85546875" style="416" bestFit="1" customWidth="1"/>
    <col min="18" max="18" width="24.85546875" customWidth="1"/>
    <col min="19" max="19" width="23.42578125" customWidth="1"/>
    <col min="20" max="20" width="22" customWidth="1"/>
    <col min="21" max="21" width="22.140625" customWidth="1"/>
    <col min="22" max="22" width="23.42578125" customWidth="1"/>
    <col min="23" max="23" width="12" customWidth="1"/>
    <col min="24" max="24" width="17.42578125" customWidth="1"/>
    <col min="25" max="25" width="10.7109375" customWidth="1"/>
    <col min="26" max="26" width="11" customWidth="1"/>
    <col min="27" max="27" width="9.28515625" customWidth="1"/>
    <col min="28" max="28" width="10.7109375" bestFit="1" customWidth="1"/>
    <col min="29" max="29" width="9.42578125" customWidth="1"/>
    <col min="30" max="30" width="8.42578125" customWidth="1"/>
    <col min="31" max="31" width="9.42578125" customWidth="1"/>
    <col min="32" max="32" width="8.85546875" customWidth="1"/>
    <col min="33" max="33" width="6.7109375" customWidth="1"/>
    <col min="34" max="34" width="6.42578125" customWidth="1"/>
    <col min="35" max="35" width="11.42578125" customWidth="1"/>
    <col min="36" max="36" width="6.42578125" customWidth="1"/>
    <col min="37" max="37" width="11.7109375" customWidth="1"/>
    <col min="38" max="38" width="10.85546875" customWidth="1"/>
    <col min="39" max="39" width="9.7109375" customWidth="1"/>
    <col min="40" max="40" width="11" customWidth="1"/>
    <col min="41" max="41" width="14.28515625" customWidth="1"/>
    <col min="42" max="42" width="14.42578125" customWidth="1"/>
    <col min="43" max="43" width="19.42578125" customWidth="1"/>
  </cols>
  <sheetData>
    <row r="1" spans="1:61">
      <c r="A1" s="1001"/>
      <c r="B1" s="1001"/>
      <c r="C1" s="1002" t="s">
        <v>0</v>
      </c>
      <c r="D1" s="1002"/>
      <c r="E1" s="1002"/>
      <c r="F1" s="1002"/>
      <c r="G1" s="1002"/>
      <c r="H1" s="1002"/>
      <c r="I1" s="1002"/>
      <c r="J1" s="1002"/>
      <c r="K1" s="1002"/>
      <c r="L1" s="1002"/>
      <c r="M1" s="1002"/>
      <c r="N1" s="1002"/>
      <c r="O1" s="1002"/>
      <c r="P1" s="1002"/>
      <c r="Q1" s="1019"/>
      <c r="R1" s="1002"/>
      <c r="S1" s="1002"/>
      <c r="T1" s="1002"/>
      <c r="U1" s="1002"/>
      <c r="V1" s="1002"/>
      <c r="W1" s="1002"/>
      <c r="X1" s="1002"/>
      <c r="Y1" s="1002"/>
      <c r="Z1" s="1002"/>
      <c r="AA1" s="1002"/>
      <c r="AB1" s="1002"/>
      <c r="AC1" s="1002"/>
      <c r="AD1" s="1002"/>
      <c r="AE1" s="1002"/>
      <c r="AF1" s="1002"/>
      <c r="AG1" s="1002"/>
      <c r="AH1" s="1002"/>
      <c r="AI1" s="1002"/>
      <c r="AJ1" s="1002"/>
      <c r="AK1" s="1002"/>
      <c r="AL1" s="1002"/>
      <c r="AM1" s="1002"/>
      <c r="AN1" s="1002"/>
      <c r="AO1" s="1002"/>
    </row>
    <row r="2" spans="1:61" s="2" customFormat="1" ht="14.45" customHeight="1">
      <c r="A2" s="1001"/>
      <c r="B2" s="1001"/>
      <c r="C2" s="1003" t="s">
        <v>1</v>
      </c>
      <c r="D2" s="1003"/>
      <c r="E2" s="1003"/>
      <c r="F2" s="1003"/>
      <c r="G2" s="1003"/>
      <c r="H2" s="1003"/>
      <c r="I2" s="1003"/>
      <c r="J2" s="1003"/>
      <c r="K2" s="1003"/>
      <c r="L2" s="1003"/>
      <c r="M2" s="1003"/>
      <c r="N2" s="1003"/>
      <c r="O2" s="1003"/>
      <c r="P2" s="1003"/>
      <c r="Q2" s="1020"/>
      <c r="R2" s="1003"/>
      <c r="S2" s="1003"/>
      <c r="T2" s="1003"/>
      <c r="U2" s="1003"/>
      <c r="V2" s="1003"/>
      <c r="W2" s="1003"/>
      <c r="X2" s="1003"/>
      <c r="Y2" s="1003"/>
      <c r="Z2" s="1003"/>
      <c r="AA2" s="1003"/>
      <c r="AB2" s="1003"/>
      <c r="AC2" s="1003"/>
      <c r="AD2" s="1003"/>
      <c r="AE2" s="1003"/>
      <c r="AF2" s="1003"/>
      <c r="AG2" s="1003"/>
      <c r="AH2" s="1003"/>
      <c r="AI2" s="1003"/>
      <c r="AJ2" s="1003"/>
      <c r="AK2" s="1003"/>
      <c r="AL2" s="1003"/>
      <c r="AM2" s="1003"/>
      <c r="AN2" s="1003"/>
      <c r="AO2" s="1003"/>
      <c r="AP2" s="25" t="s">
        <v>2</v>
      </c>
      <c r="AQ2" s="957" t="s">
        <v>3</v>
      </c>
      <c r="AR2" s="1"/>
      <c r="AS2" s="1"/>
      <c r="AT2" s="1"/>
      <c r="AU2" s="1"/>
      <c r="AV2" s="1"/>
      <c r="AW2" s="1"/>
      <c r="AX2" s="1"/>
      <c r="AY2" s="1"/>
      <c r="AZ2" s="1"/>
      <c r="BA2" s="1"/>
      <c r="BB2" s="1"/>
      <c r="BC2" s="1"/>
      <c r="BD2" s="1"/>
      <c r="BE2" s="1"/>
      <c r="BF2" s="1"/>
      <c r="BG2" s="1"/>
      <c r="BH2" s="1"/>
      <c r="BI2" s="1"/>
    </row>
    <row r="3" spans="1:61" s="2" customFormat="1" ht="11.25" customHeight="1">
      <c r="A3" s="1001"/>
      <c r="B3" s="1001"/>
      <c r="C3" s="1003"/>
      <c r="D3" s="1003"/>
      <c r="E3" s="1003"/>
      <c r="F3" s="1003"/>
      <c r="G3" s="1003"/>
      <c r="H3" s="1003"/>
      <c r="I3" s="1003"/>
      <c r="J3" s="1003"/>
      <c r="K3" s="1003"/>
      <c r="L3" s="1003"/>
      <c r="M3" s="1003"/>
      <c r="N3" s="1003"/>
      <c r="O3" s="1003"/>
      <c r="P3" s="1003"/>
      <c r="Q3" s="1020"/>
      <c r="R3" s="1003"/>
      <c r="S3" s="1003"/>
      <c r="T3" s="1003"/>
      <c r="U3" s="1003"/>
      <c r="V3" s="1003"/>
      <c r="W3" s="1003"/>
      <c r="X3" s="1003"/>
      <c r="Y3" s="1003"/>
      <c r="Z3" s="1003"/>
      <c r="AA3" s="1003"/>
      <c r="AB3" s="1003"/>
      <c r="AC3" s="1003"/>
      <c r="AD3" s="1003"/>
      <c r="AE3" s="1003"/>
      <c r="AF3" s="1003"/>
      <c r="AG3" s="1003"/>
      <c r="AH3" s="1003"/>
      <c r="AI3" s="1003"/>
      <c r="AJ3" s="1003"/>
      <c r="AK3" s="1003"/>
      <c r="AL3" s="1003"/>
      <c r="AM3" s="1003"/>
      <c r="AN3" s="1003"/>
      <c r="AO3" s="1003"/>
      <c r="AP3" s="42" t="s">
        <v>4</v>
      </c>
      <c r="AQ3" s="40">
        <v>14</v>
      </c>
      <c r="AR3" s="1"/>
      <c r="AS3" s="1"/>
      <c r="AT3" s="1"/>
      <c r="AU3" s="1"/>
      <c r="AV3" s="1"/>
      <c r="AW3" s="1"/>
      <c r="AX3" s="1"/>
      <c r="AY3" s="1"/>
      <c r="AZ3" s="1"/>
      <c r="BA3" s="1"/>
      <c r="BB3" s="1"/>
      <c r="BC3" s="1"/>
      <c r="BD3" s="1"/>
      <c r="BE3" s="1"/>
      <c r="BF3" s="1"/>
      <c r="BG3" s="1"/>
      <c r="BH3" s="1"/>
      <c r="BI3" s="1"/>
    </row>
    <row r="4" spans="1:61" s="2" customFormat="1" ht="18.75" customHeight="1">
      <c r="A4" s="1001"/>
      <c r="B4" s="1001"/>
      <c r="C4" s="1003"/>
      <c r="D4" s="1003"/>
      <c r="E4" s="1003"/>
      <c r="F4" s="1003"/>
      <c r="G4" s="1003"/>
      <c r="H4" s="1003"/>
      <c r="I4" s="1003"/>
      <c r="J4" s="1003"/>
      <c r="K4" s="1003"/>
      <c r="L4" s="1003"/>
      <c r="M4" s="1003"/>
      <c r="N4" s="1003"/>
      <c r="O4" s="1003"/>
      <c r="P4" s="1003"/>
      <c r="Q4" s="1020"/>
      <c r="R4" s="1003"/>
      <c r="S4" s="1003"/>
      <c r="T4" s="1003"/>
      <c r="U4" s="1003"/>
      <c r="V4" s="1003"/>
      <c r="W4" s="1003"/>
      <c r="X4" s="1003"/>
      <c r="Y4" s="1003"/>
      <c r="Z4" s="1003"/>
      <c r="AA4" s="1003"/>
      <c r="AB4" s="1003"/>
      <c r="AC4" s="1003"/>
      <c r="AD4" s="1003"/>
      <c r="AE4" s="1003"/>
      <c r="AF4" s="1003"/>
      <c r="AG4" s="1003"/>
      <c r="AH4" s="1003"/>
      <c r="AI4" s="1003"/>
      <c r="AJ4" s="1003"/>
      <c r="AK4" s="1003"/>
      <c r="AL4" s="1003"/>
      <c r="AM4" s="1003"/>
      <c r="AN4" s="1003"/>
      <c r="AO4" s="1003"/>
      <c r="AP4" s="42" t="s">
        <v>5</v>
      </c>
      <c r="AQ4" s="41">
        <v>45884</v>
      </c>
      <c r="AR4" s="1"/>
      <c r="AS4" s="1"/>
      <c r="AT4" s="1"/>
      <c r="AU4" s="1"/>
      <c r="AV4" s="1"/>
      <c r="AW4" s="1"/>
      <c r="AX4" s="1"/>
      <c r="AY4" s="1"/>
      <c r="AZ4" s="1"/>
      <c r="BA4" s="1"/>
      <c r="BB4" s="1"/>
      <c r="BC4" s="1"/>
      <c r="BD4" s="1"/>
      <c r="BE4" s="1"/>
      <c r="BF4" s="1"/>
      <c r="BG4" s="1"/>
      <c r="BH4" s="1"/>
      <c r="BI4" s="1"/>
    </row>
    <row r="5" spans="1:61" s="2" customFormat="1" ht="14.45" customHeight="1">
      <c r="A5" s="1001"/>
      <c r="B5" s="1001"/>
      <c r="C5" s="1004" t="s">
        <v>6</v>
      </c>
      <c r="D5" s="1004"/>
      <c r="E5" s="1004"/>
      <c r="F5" s="1004"/>
      <c r="G5" s="1004"/>
      <c r="H5" s="1004"/>
      <c r="I5" s="1004"/>
      <c r="J5" s="1004"/>
      <c r="K5" s="1004"/>
      <c r="L5" s="1004"/>
      <c r="M5" s="1004"/>
      <c r="N5" s="1004"/>
      <c r="O5" s="1004"/>
      <c r="P5" s="1004"/>
      <c r="Q5" s="1021"/>
      <c r="R5" s="1004"/>
      <c r="S5" s="1004"/>
      <c r="T5" s="1004"/>
      <c r="U5" s="1004"/>
      <c r="V5" s="1004"/>
      <c r="W5" s="1004"/>
      <c r="X5" s="1004"/>
      <c r="Y5" s="1004"/>
      <c r="Z5" s="1004"/>
      <c r="AA5" s="1004"/>
      <c r="AB5" s="1004"/>
      <c r="AC5" s="1004"/>
      <c r="AD5" s="1004"/>
      <c r="AE5" s="1004"/>
      <c r="AF5" s="1004"/>
      <c r="AG5" s="1004"/>
      <c r="AH5" s="1004"/>
      <c r="AI5" s="1004"/>
      <c r="AJ5" s="1004"/>
      <c r="AK5" s="1004"/>
      <c r="AL5" s="1004"/>
      <c r="AM5" s="1004"/>
      <c r="AN5" s="1004"/>
      <c r="AO5" s="1004"/>
      <c r="AP5" s="25" t="s">
        <v>7</v>
      </c>
      <c r="AQ5" s="3" t="s">
        <v>8</v>
      </c>
      <c r="AR5" s="1"/>
      <c r="AS5" s="1"/>
      <c r="AT5" s="1"/>
      <c r="AU5" s="1"/>
      <c r="AV5" s="1"/>
      <c r="AW5" s="1"/>
      <c r="AX5" s="1"/>
      <c r="AY5" s="1"/>
      <c r="AZ5" s="1"/>
      <c r="BA5" s="1"/>
      <c r="BB5" s="1"/>
      <c r="BC5" s="1"/>
      <c r="BD5" s="1"/>
      <c r="BE5" s="1"/>
      <c r="BF5" s="1"/>
      <c r="BG5" s="1"/>
      <c r="BH5" s="1"/>
      <c r="BI5" s="1"/>
    </row>
    <row r="6" spans="1:61" s="2" customFormat="1" ht="9.75" customHeight="1">
      <c r="A6" s="1001"/>
      <c r="B6" s="1001"/>
      <c r="C6" s="1004"/>
      <c r="D6" s="1004"/>
      <c r="E6" s="1004"/>
      <c r="F6" s="1004"/>
      <c r="G6" s="1004"/>
      <c r="H6" s="1004"/>
      <c r="I6" s="1004"/>
      <c r="J6" s="1004"/>
      <c r="K6" s="1005"/>
      <c r="L6" s="1005"/>
      <c r="M6" s="1005"/>
      <c r="N6" s="1004"/>
      <c r="O6" s="1004"/>
      <c r="P6" s="1004"/>
      <c r="Q6" s="1021"/>
      <c r="R6" s="1004"/>
      <c r="S6" s="1004"/>
      <c r="T6" s="1004"/>
      <c r="U6" s="1004"/>
      <c r="V6" s="1004"/>
      <c r="W6" s="1004"/>
      <c r="X6" s="1004"/>
      <c r="Y6" s="1004"/>
      <c r="Z6" s="1004"/>
      <c r="AA6" s="1004"/>
      <c r="AB6" s="1004"/>
      <c r="AC6" s="1004"/>
      <c r="AD6" s="1004"/>
      <c r="AE6" s="1004"/>
      <c r="AF6" s="1004"/>
      <c r="AG6" s="1004"/>
      <c r="AH6" s="1004"/>
      <c r="AI6" s="1004"/>
      <c r="AJ6" s="1004"/>
      <c r="AK6" s="1004"/>
      <c r="AL6" s="1004"/>
      <c r="AM6" s="1004"/>
      <c r="AN6" s="1004"/>
      <c r="AO6" s="1004"/>
      <c r="AP6" s="4"/>
      <c r="AQ6" s="5"/>
      <c r="AR6" s="1"/>
      <c r="AS6" s="1"/>
      <c r="AT6" s="1"/>
      <c r="AU6" s="1"/>
      <c r="AV6" s="1"/>
      <c r="AW6" s="1"/>
      <c r="AX6" s="1"/>
      <c r="AY6" s="1"/>
      <c r="AZ6" s="1"/>
      <c r="BA6" s="1"/>
      <c r="BB6" s="1"/>
      <c r="BC6" s="1"/>
      <c r="BD6" s="1"/>
      <c r="BE6" s="1"/>
      <c r="BF6" s="1"/>
      <c r="BG6" s="1"/>
      <c r="BH6" s="1"/>
      <c r="BI6" s="1"/>
    </row>
    <row r="7" spans="1:61" ht="21" customHeight="1">
      <c r="A7" s="1006" t="s">
        <v>9</v>
      </c>
      <c r="B7" s="1007"/>
      <c r="C7" s="1006" t="s">
        <v>10</v>
      </c>
      <c r="D7" s="1010"/>
      <c r="E7" s="1006" t="s">
        <v>11</v>
      </c>
      <c r="F7" s="1010"/>
      <c r="G7" s="1006" t="s">
        <v>12</v>
      </c>
      <c r="H7" s="1010"/>
      <c r="I7" s="1012" t="s">
        <v>13</v>
      </c>
      <c r="J7" s="1012"/>
      <c r="K7" s="1014" t="s">
        <v>14</v>
      </c>
      <c r="L7" s="1014"/>
      <c r="M7" s="1014"/>
      <c r="N7" s="1015" t="s">
        <v>15</v>
      </c>
      <c r="O7" s="1015"/>
      <c r="P7" s="1015"/>
      <c r="Q7" s="1022"/>
      <c r="R7" s="33"/>
      <c r="S7" s="958"/>
      <c r="T7" s="958"/>
      <c r="U7" s="958"/>
      <c r="V7" s="6"/>
      <c r="W7" s="6"/>
      <c r="X7" s="7"/>
      <c r="Y7" s="998" t="s">
        <v>16</v>
      </c>
      <c r="Z7" s="999"/>
      <c r="AA7" s="999"/>
      <c r="AB7" s="999"/>
      <c r="AC7" s="999"/>
      <c r="AD7" s="999"/>
      <c r="AE7" s="999"/>
      <c r="AF7" s="999"/>
      <c r="AG7" s="999"/>
      <c r="AH7" s="999"/>
      <c r="AI7" s="999"/>
      <c r="AJ7" s="999"/>
      <c r="AK7" s="999"/>
      <c r="AL7" s="999"/>
      <c r="AM7" s="999"/>
      <c r="AN7" s="1000"/>
      <c r="AO7" s="987" t="s">
        <v>17</v>
      </c>
      <c r="AP7" s="987" t="s">
        <v>18</v>
      </c>
      <c r="AQ7" s="987" t="s">
        <v>19</v>
      </c>
    </row>
    <row r="8" spans="1:61" s="9" customFormat="1" ht="12.75" customHeight="1">
      <c r="A8" s="1008"/>
      <c r="B8" s="1009"/>
      <c r="C8" s="1008"/>
      <c r="D8" s="1011"/>
      <c r="E8" s="1008"/>
      <c r="F8" s="1011"/>
      <c r="G8" s="1008"/>
      <c r="H8" s="1011"/>
      <c r="I8" s="1013"/>
      <c r="J8" s="1013"/>
      <c r="K8" s="1014"/>
      <c r="L8" s="1014"/>
      <c r="M8" s="1014"/>
      <c r="N8" s="1016"/>
      <c r="O8" s="1016"/>
      <c r="P8" s="1016"/>
      <c r="Q8" s="1023"/>
      <c r="R8" s="34"/>
      <c r="S8" s="959"/>
      <c r="T8" s="959"/>
      <c r="U8" s="959"/>
      <c r="V8" s="990" t="s">
        <v>20</v>
      </c>
      <c r="W8" s="991"/>
      <c r="X8" s="992"/>
      <c r="Y8" s="993" t="s">
        <v>21</v>
      </c>
      <c r="Z8" s="994"/>
      <c r="AA8" s="995" t="s">
        <v>22</v>
      </c>
      <c r="AB8" s="994"/>
      <c r="AC8" s="994"/>
      <c r="AD8" s="994"/>
      <c r="AE8" s="996" t="s">
        <v>23</v>
      </c>
      <c r="AF8" s="994"/>
      <c r="AG8" s="994"/>
      <c r="AH8" s="994"/>
      <c r="AI8" s="994"/>
      <c r="AJ8" s="994"/>
      <c r="AK8" s="995" t="s">
        <v>24</v>
      </c>
      <c r="AL8" s="994"/>
      <c r="AM8" s="994"/>
      <c r="AN8" s="997" t="s">
        <v>25</v>
      </c>
      <c r="AO8" s="988"/>
      <c r="AP8" s="988"/>
      <c r="AQ8" s="988"/>
      <c r="AR8" s="8"/>
      <c r="AS8" s="8"/>
      <c r="AT8" s="8"/>
      <c r="AU8" s="8"/>
      <c r="AV8" s="8"/>
      <c r="AW8" s="8"/>
      <c r="AX8" s="8"/>
      <c r="AY8" s="8"/>
      <c r="AZ8" s="8"/>
      <c r="BA8" s="8"/>
      <c r="BB8" s="8"/>
      <c r="BC8" s="8"/>
      <c r="BD8" s="8"/>
      <c r="BE8" s="8"/>
      <c r="BF8" s="8"/>
    </row>
    <row r="9" spans="1:61" s="16" customFormat="1" ht="55.5" customHeight="1">
      <c r="A9" s="10" t="s">
        <v>26</v>
      </c>
      <c r="B9" s="10" t="s">
        <v>27</v>
      </c>
      <c r="C9" s="10" t="s">
        <v>28</v>
      </c>
      <c r="D9" s="11" t="s">
        <v>29</v>
      </c>
      <c r="E9" s="11" t="s">
        <v>28</v>
      </c>
      <c r="F9" s="11" t="s">
        <v>29</v>
      </c>
      <c r="G9" s="12" t="s">
        <v>26</v>
      </c>
      <c r="H9" s="12" t="s">
        <v>29</v>
      </c>
      <c r="I9" s="12" t="s">
        <v>30</v>
      </c>
      <c r="J9" s="12" t="s">
        <v>31</v>
      </c>
      <c r="K9" s="39" t="s">
        <v>32</v>
      </c>
      <c r="L9" s="39" t="s">
        <v>33</v>
      </c>
      <c r="M9" s="39" t="s">
        <v>25</v>
      </c>
      <c r="N9" s="12" t="s">
        <v>34</v>
      </c>
      <c r="O9" s="12" t="s">
        <v>35</v>
      </c>
      <c r="P9" s="11" t="s">
        <v>36</v>
      </c>
      <c r="Q9" s="340" t="s">
        <v>37</v>
      </c>
      <c r="R9" s="35" t="s">
        <v>38</v>
      </c>
      <c r="S9" s="13" t="s">
        <v>39</v>
      </c>
      <c r="T9" s="13" t="s">
        <v>40</v>
      </c>
      <c r="U9" s="13" t="s">
        <v>41</v>
      </c>
      <c r="V9" s="10" t="s">
        <v>42</v>
      </c>
      <c r="W9" s="11" t="s">
        <v>26</v>
      </c>
      <c r="X9" s="11" t="s">
        <v>27</v>
      </c>
      <c r="Y9" s="14" t="s">
        <v>43</v>
      </c>
      <c r="Z9" s="15" t="s">
        <v>44</v>
      </c>
      <c r="AA9" s="14" t="s">
        <v>45</v>
      </c>
      <c r="AB9" s="14" t="s">
        <v>46</v>
      </c>
      <c r="AC9" s="14" t="s">
        <v>47</v>
      </c>
      <c r="AD9" s="14" t="s">
        <v>48</v>
      </c>
      <c r="AE9" s="14" t="s">
        <v>49</v>
      </c>
      <c r="AF9" s="14" t="s">
        <v>50</v>
      </c>
      <c r="AG9" s="14" t="s">
        <v>51</v>
      </c>
      <c r="AH9" s="14" t="s">
        <v>52</v>
      </c>
      <c r="AI9" s="14" t="s">
        <v>53</v>
      </c>
      <c r="AJ9" s="14" t="s">
        <v>54</v>
      </c>
      <c r="AK9" s="14" t="s">
        <v>55</v>
      </c>
      <c r="AL9" s="14" t="s">
        <v>56</v>
      </c>
      <c r="AM9" s="14" t="s">
        <v>57</v>
      </c>
      <c r="AN9" s="997"/>
      <c r="AO9" s="989"/>
      <c r="AP9" s="989"/>
      <c r="AQ9" s="989"/>
      <c r="AR9" s="8"/>
      <c r="AS9" s="8"/>
      <c r="AT9" s="8"/>
      <c r="AU9" s="8"/>
      <c r="AV9" s="8"/>
      <c r="AW9" s="8"/>
      <c r="AX9" s="8"/>
      <c r="AY9" s="8"/>
      <c r="AZ9" s="8"/>
      <c r="BA9" s="8"/>
      <c r="BB9" s="8"/>
      <c r="BC9" s="8"/>
      <c r="BD9" s="8"/>
      <c r="BE9" s="8"/>
      <c r="BF9" s="8"/>
    </row>
    <row r="10" spans="1:61" s="132" customFormat="1" ht="107.25">
      <c r="A10" s="341">
        <v>4</v>
      </c>
      <c r="B10" s="342" t="s">
        <v>253</v>
      </c>
      <c r="C10" s="343">
        <v>45</v>
      </c>
      <c r="D10" s="342" t="s">
        <v>254</v>
      </c>
      <c r="E10" s="341">
        <v>4502</v>
      </c>
      <c r="F10" s="342" t="s">
        <v>97</v>
      </c>
      <c r="G10" s="341">
        <v>4502024</v>
      </c>
      <c r="H10" s="342" t="s">
        <v>255</v>
      </c>
      <c r="I10" s="341">
        <v>450202400</v>
      </c>
      <c r="J10" s="342" t="s">
        <v>256</v>
      </c>
      <c r="K10" s="344">
        <v>10</v>
      </c>
      <c r="L10" s="344"/>
      <c r="M10" s="344">
        <f>K10+L10</f>
        <v>10</v>
      </c>
      <c r="N10" s="345" t="s">
        <v>257</v>
      </c>
      <c r="O10" s="346" t="s">
        <v>258</v>
      </c>
      <c r="P10" s="347" t="s">
        <v>259</v>
      </c>
      <c r="Q10" s="348">
        <v>5000000</v>
      </c>
      <c r="R10" s="129"/>
      <c r="S10" s="130"/>
      <c r="T10" s="130"/>
      <c r="U10" s="935">
        <f>+Q10-R10+S10-T10</f>
        <v>5000000</v>
      </c>
      <c r="V10" s="349" t="s">
        <v>260</v>
      </c>
      <c r="W10" s="329">
        <v>20</v>
      </c>
      <c r="X10" s="329" t="s">
        <v>67</v>
      </c>
      <c r="Y10" s="350">
        <v>1650</v>
      </c>
      <c r="Z10" s="350">
        <v>1850</v>
      </c>
      <c r="AA10" s="351">
        <v>500</v>
      </c>
      <c r="AB10" s="351">
        <v>200</v>
      </c>
      <c r="AC10" s="350">
        <v>2700</v>
      </c>
      <c r="AD10" s="351">
        <v>100</v>
      </c>
      <c r="AE10" s="351">
        <v>80</v>
      </c>
      <c r="AF10" s="351">
        <v>80</v>
      </c>
      <c r="AG10" s="351">
        <v>0</v>
      </c>
      <c r="AH10" s="351">
        <v>0</v>
      </c>
      <c r="AI10" s="351">
        <v>0</v>
      </c>
      <c r="AJ10" s="351">
        <v>0</v>
      </c>
      <c r="AK10" s="351">
        <v>0</v>
      </c>
      <c r="AL10" s="351">
        <v>20</v>
      </c>
      <c r="AM10" s="351">
        <v>0</v>
      </c>
      <c r="AN10" s="350">
        <f>+Y10+Z10</f>
        <v>3500</v>
      </c>
      <c r="AO10" s="330">
        <v>46023</v>
      </c>
      <c r="AP10" s="330">
        <v>46387</v>
      </c>
      <c r="AQ10" s="352" t="s">
        <v>261</v>
      </c>
      <c r="AR10" s="8"/>
      <c r="AS10" s="8"/>
      <c r="AT10" s="8"/>
      <c r="AU10" s="8"/>
      <c r="AV10" s="8"/>
      <c r="AW10" s="8"/>
      <c r="AX10" s="8"/>
      <c r="AY10" s="8"/>
      <c r="AZ10" s="8"/>
      <c r="BA10" s="8"/>
      <c r="BB10" s="8"/>
      <c r="BC10" s="8"/>
      <c r="BD10" s="8"/>
      <c r="BE10" s="8"/>
      <c r="BF10" s="8"/>
    </row>
    <row r="11" spans="1:61" s="132" customFormat="1" ht="107.25">
      <c r="A11" s="341">
        <v>4</v>
      </c>
      <c r="B11" s="342" t="s">
        <v>253</v>
      </c>
      <c r="C11" s="343">
        <v>45</v>
      </c>
      <c r="D11" s="342" t="s">
        <v>254</v>
      </c>
      <c r="E11" s="341">
        <v>4502</v>
      </c>
      <c r="F11" s="342" t="s">
        <v>97</v>
      </c>
      <c r="G11" s="341">
        <v>4502024</v>
      </c>
      <c r="H11" s="342" t="s">
        <v>255</v>
      </c>
      <c r="I11" s="341">
        <v>450202400</v>
      </c>
      <c r="J11" s="342" t="s">
        <v>256</v>
      </c>
      <c r="K11" s="344">
        <v>10</v>
      </c>
      <c r="L11" s="344"/>
      <c r="M11" s="344">
        <f t="shared" ref="M11:M18" si="0">K11+L11</f>
        <v>10</v>
      </c>
      <c r="N11" s="345" t="s">
        <v>257</v>
      </c>
      <c r="O11" s="346" t="s">
        <v>258</v>
      </c>
      <c r="P11" s="347" t="s">
        <v>262</v>
      </c>
      <c r="Q11" s="348">
        <v>15000000</v>
      </c>
      <c r="R11" s="129"/>
      <c r="S11" s="130"/>
      <c r="T11" s="130"/>
      <c r="U11" s="935">
        <f>+Q11-R11+S11-T11</f>
        <v>15000000</v>
      </c>
      <c r="V11" s="349" t="s">
        <v>263</v>
      </c>
      <c r="W11" s="329">
        <v>20</v>
      </c>
      <c r="X11" s="329" t="s">
        <v>67</v>
      </c>
      <c r="Y11" s="350">
        <v>1650</v>
      </c>
      <c r="Z11" s="350">
        <v>1850</v>
      </c>
      <c r="AA11" s="351">
        <v>500</v>
      </c>
      <c r="AB11" s="351">
        <v>200</v>
      </c>
      <c r="AC11" s="350">
        <v>2700</v>
      </c>
      <c r="AD11" s="351">
        <v>100</v>
      </c>
      <c r="AE11" s="351">
        <v>80</v>
      </c>
      <c r="AF11" s="351">
        <v>80</v>
      </c>
      <c r="AG11" s="351">
        <v>0</v>
      </c>
      <c r="AH11" s="351">
        <v>0</v>
      </c>
      <c r="AI11" s="351">
        <v>0</v>
      </c>
      <c r="AJ11" s="351">
        <v>0</v>
      </c>
      <c r="AK11" s="351">
        <v>0</v>
      </c>
      <c r="AL11" s="351">
        <v>20</v>
      </c>
      <c r="AM11" s="351">
        <v>0</v>
      </c>
      <c r="AN11" s="350">
        <f t="shared" ref="AN11:AN18" si="1">+Y11+Z11</f>
        <v>3500</v>
      </c>
      <c r="AO11" s="330">
        <v>46023</v>
      </c>
      <c r="AP11" s="330">
        <v>46387</v>
      </c>
      <c r="AQ11" s="352" t="s">
        <v>261</v>
      </c>
      <c r="AR11" s="8"/>
      <c r="AS11" s="8"/>
      <c r="AT11" s="8"/>
      <c r="AU11" s="8"/>
      <c r="AV11" s="8"/>
      <c r="AW11" s="8"/>
      <c r="AX11" s="8"/>
      <c r="AY11" s="8"/>
      <c r="AZ11" s="8"/>
      <c r="BA11" s="8"/>
      <c r="BB11" s="8"/>
      <c r="BC11" s="8"/>
      <c r="BD11" s="8"/>
      <c r="BE11" s="8"/>
      <c r="BF11" s="8"/>
    </row>
    <row r="12" spans="1:61" s="132" customFormat="1" ht="107.25">
      <c r="A12" s="341">
        <v>4</v>
      </c>
      <c r="B12" s="342" t="s">
        <v>253</v>
      </c>
      <c r="C12" s="343">
        <v>45</v>
      </c>
      <c r="D12" s="342" t="s">
        <v>254</v>
      </c>
      <c r="E12" s="341">
        <v>4502</v>
      </c>
      <c r="F12" s="342" t="s">
        <v>97</v>
      </c>
      <c r="G12" s="341">
        <v>4502024</v>
      </c>
      <c r="H12" s="342" t="s">
        <v>255</v>
      </c>
      <c r="I12" s="341">
        <v>450202400</v>
      </c>
      <c r="J12" s="342" t="s">
        <v>256</v>
      </c>
      <c r="K12" s="344">
        <v>10</v>
      </c>
      <c r="L12" s="344"/>
      <c r="M12" s="344">
        <f t="shared" si="0"/>
        <v>10</v>
      </c>
      <c r="N12" s="345" t="s">
        <v>257</v>
      </c>
      <c r="O12" s="346" t="s">
        <v>258</v>
      </c>
      <c r="P12" s="347" t="s">
        <v>264</v>
      </c>
      <c r="Q12" s="348">
        <v>15000000</v>
      </c>
      <c r="R12" s="129">
        <f>2300000+200000+2000000+2000000+3800000</f>
        <v>10300000</v>
      </c>
      <c r="S12" s="130">
        <v>2000000</v>
      </c>
      <c r="T12" s="130"/>
      <c r="U12" s="935">
        <f>+Q12-R12+S12-T12</f>
        <v>6700000</v>
      </c>
      <c r="V12" s="353" t="s">
        <v>265</v>
      </c>
      <c r="W12" s="329">
        <v>20</v>
      </c>
      <c r="X12" s="329" t="s">
        <v>67</v>
      </c>
      <c r="Y12" s="350">
        <v>1650</v>
      </c>
      <c r="Z12" s="350">
        <v>1850</v>
      </c>
      <c r="AA12" s="351">
        <v>500</v>
      </c>
      <c r="AB12" s="351">
        <v>200</v>
      </c>
      <c r="AC12" s="350">
        <v>2700</v>
      </c>
      <c r="AD12" s="351">
        <v>100</v>
      </c>
      <c r="AE12" s="351">
        <v>80</v>
      </c>
      <c r="AF12" s="351">
        <v>80</v>
      </c>
      <c r="AG12" s="351">
        <v>0</v>
      </c>
      <c r="AH12" s="351">
        <v>0</v>
      </c>
      <c r="AI12" s="351">
        <v>0</v>
      </c>
      <c r="AJ12" s="351">
        <v>0</v>
      </c>
      <c r="AK12" s="351">
        <v>0</v>
      </c>
      <c r="AL12" s="351">
        <v>20</v>
      </c>
      <c r="AM12" s="351">
        <v>0</v>
      </c>
      <c r="AN12" s="350">
        <f t="shared" si="1"/>
        <v>3500</v>
      </c>
      <c r="AO12" s="330">
        <v>46023</v>
      </c>
      <c r="AP12" s="330">
        <v>46387</v>
      </c>
      <c r="AQ12" s="352" t="s">
        <v>261</v>
      </c>
      <c r="AR12" s="8"/>
      <c r="AS12" s="8"/>
      <c r="AT12" s="8"/>
      <c r="AU12" s="8"/>
      <c r="AV12" s="8"/>
      <c r="AW12" s="8"/>
      <c r="AX12" s="8"/>
      <c r="AY12" s="8"/>
      <c r="AZ12" s="8"/>
      <c r="BA12" s="8"/>
      <c r="BB12" s="8"/>
      <c r="BC12" s="8"/>
      <c r="BD12" s="8"/>
      <c r="BE12" s="8"/>
      <c r="BF12" s="8"/>
    </row>
    <row r="13" spans="1:61" s="132" customFormat="1" ht="107.25">
      <c r="A13" s="341">
        <v>4</v>
      </c>
      <c r="B13" s="342" t="s">
        <v>253</v>
      </c>
      <c r="C13" s="343">
        <v>45</v>
      </c>
      <c r="D13" s="342" t="s">
        <v>254</v>
      </c>
      <c r="E13" s="341">
        <v>4502</v>
      </c>
      <c r="F13" s="342" t="s">
        <v>97</v>
      </c>
      <c r="G13" s="341">
        <v>4502024</v>
      </c>
      <c r="H13" s="342" t="s">
        <v>255</v>
      </c>
      <c r="I13" s="341">
        <v>450202400</v>
      </c>
      <c r="J13" s="342" t="s">
        <v>256</v>
      </c>
      <c r="K13" s="344">
        <v>10</v>
      </c>
      <c r="L13" s="344"/>
      <c r="M13" s="344">
        <f t="shared" si="0"/>
        <v>10</v>
      </c>
      <c r="N13" s="345" t="s">
        <v>257</v>
      </c>
      <c r="O13" s="346" t="s">
        <v>258</v>
      </c>
      <c r="P13" s="46" t="s">
        <v>266</v>
      </c>
      <c r="Q13" s="348">
        <v>27000000</v>
      </c>
      <c r="R13" s="129">
        <f>3800000+2000000+3800000+3800000</f>
        <v>13400000</v>
      </c>
      <c r="S13" s="130"/>
      <c r="T13" s="130"/>
      <c r="U13" s="935">
        <f>+Q13-R13+S13-T13</f>
        <v>13600000</v>
      </c>
      <c r="V13" s="353" t="s">
        <v>265</v>
      </c>
      <c r="W13" s="329">
        <v>20</v>
      </c>
      <c r="X13" s="329" t="s">
        <v>67</v>
      </c>
      <c r="Y13" s="350">
        <v>1650</v>
      </c>
      <c r="Z13" s="350">
        <v>1850</v>
      </c>
      <c r="AA13" s="351">
        <v>500</v>
      </c>
      <c r="AB13" s="351">
        <v>200</v>
      </c>
      <c r="AC13" s="350">
        <v>2700</v>
      </c>
      <c r="AD13" s="351">
        <v>100</v>
      </c>
      <c r="AE13" s="351">
        <v>80</v>
      </c>
      <c r="AF13" s="351">
        <v>80</v>
      </c>
      <c r="AG13" s="351">
        <v>0</v>
      </c>
      <c r="AH13" s="351">
        <v>0</v>
      </c>
      <c r="AI13" s="351">
        <v>0</v>
      </c>
      <c r="AJ13" s="351">
        <v>0</v>
      </c>
      <c r="AK13" s="351">
        <v>0</v>
      </c>
      <c r="AL13" s="351">
        <v>20</v>
      </c>
      <c r="AM13" s="351">
        <v>0</v>
      </c>
      <c r="AN13" s="350">
        <f t="shared" si="1"/>
        <v>3500</v>
      </c>
      <c r="AO13" s="330">
        <v>46023</v>
      </c>
      <c r="AP13" s="330">
        <v>46387</v>
      </c>
      <c r="AQ13" s="352" t="s">
        <v>261</v>
      </c>
      <c r="AR13" s="8"/>
      <c r="AS13" s="8"/>
      <c r="AT13" s="8"/>
      <c r="AU13" s="8"/>
      <c r="AV13" s="8"/>
      <c r="AW13" s="8"/>
      <c r="AX13" s="8"/>
      <c r="AY13" s="8"/>
      <c r="AZ13" s="8"/>
      <c r="BA13" s="8"/>
      <c r="BB13" s="8"/>
      <c r="BC13" s="8"/>
      <c r="BD13" s="8"/>
      <c r="BE13" s="8"/>
      <c r="BF13" s="8"/>
    </row>
    <row r="14" spans="1:61" s="132" customFormat="1" ht="107.25">
      <c r="A14" s="341">
        <v>4</v>
      </c>
      <c r="B14" s="342" t="s">
        <v>253</v>
      </c>
      <c r="C14" s="343">
        <v>45</v>
      </c>
      <c r="D14" s="342" t="s">
        <v>254</v>
      </c>
      <c r="E14" s="341">
        <v>4502</v>
      </c>
      <c r="F14" s="342" t="s">
        <v>97</v>
      </c>
      <c r="G14" s="341">
        <v>4502024</v>
      </c>
      <c r="H14" s="342" t="s">
        <v>255</v>
      </c>
      <c r="I14" s="341">
        <v>450202400</v>
      </c>
      <c r="J14" s="342" t="s">
        <v>256</v>
      </c>
      <c r="K14" s="344">
        <v>10</v>
      </c>
      <c r="L14" s="344"/>
      <c r="M14" s="344">
        <f t="shared" si="0"/>
        <v>10</v>
      </c>
      <c r="N14" s="345" t="s">
        <v>257</v>
      </c>
      <c r="O14" s="346" t="s">
        <v>258</v>
      </c>
      <c r="P14" s="46" t="s">
        <v>267</v>
      </c>
      <c r="Q14" s="354">
        <v>15000000</v>
      </c>
      <c r="R14" s="129">
        <v>4000000</v>
      </c>
      <c r="S14" s="130"/>
      <c r="T14" s="130"/>
      <c r="U14" s="935">
        <f>+Q14-R14+S14-T14</f>
        <v>11000000</v>
      </c>
      <c r="V14" s="353" t="s">
        <v>265</v>
      </c>
      <c r="W14" s="329">
        <v>20</v>
      </c>
      <c r="X14" s="329" t="s">
        <v>67</v>
      </c>
      <c r="Y14" s="350">
        <v>1650</v>
      </c>
      <c r="Z14" s="350">
        <v>1850</v>
      </c>
      <c r="AA14" s="351">
        <v>500</v>
      </c>
      <c r="AB14" s="351">
        <v>200</v>
      </c>
      <c r="AC14" s="350">
        <v>2700</v>
      </c>
      <c r="AD14" s="351">
        <v>100</v>
      </c>
      <c r="AE14" s="351">
        <v>80</v>
      </c>
      <c r="AF14" s="351">
        <v>80</v>
      </c>
      <c r="AG14" s="351">
        <v>0</v>
      </c>
      <c r="AH14" s="351">
        <v>0</v>
      </c>
      <c r="AI14" s="351">
        <v>0</v>
      </c>
      <c r="AJ14" s="351">
        <v>0</v>
      </c>
      <c r="AK14" s="351">
        <v>0</v>
      </c>
      <c r="AL14" s="351">
        <v>20</v>
      </c>
      <c r="AM14" s="351">
        <v>0</v>
      </c>
      <c r="AN14" s="350">
        <f t="shared" si="1"/>
        <v>3500</v>
      </c>
      <c r="AO14" s="330">
        <v>46023</v>
      </c>
      <c r="AP14" s="330">
        <v>46387</v>
      </c>
      <c r="AQ14" s="352" t="s">
        <v>261</v>
      </c>
      <c r="AR14" s="8"/>
      <c r="AS14" s="8"/>
      <c r="AT14" s="8"/>
      <c r="AU14" s="8"/>
      <c r="AV14" s="8"/>
      <c r="AW14" s="8"/>
      <c r="AX14" s="8"/>
      <c r="AY14" s="8"/>
      <c r="AZ14" s="8"/>
      <c r="BA14" s="8"/>
      <c r="BB14" s="8"/>
      <c r="BC14" s="8"/>
      <c r="BD14" s="8"/>
      <c r="BE14" s="8"/>
      <c r="BF14" s="8"/>
    </row>
    <row r="15" spans="1:61" s="132" customFormat="1" ht="107.25">
      <c r="A15" s="341">
        <v>4</v>
      </c>
      <c r="B15" s="342" t="s">
        <v>253</v>
      </c>
      <c r="C15" s="343">
        <v>45</v>
      </c>
      <c r="D15" s="342" t="s">
        <v>254</v>
      </c>
      <c r="E15" s="341">
        <v>4502</v>
      </c>
      <c r="F15" s="342" t="s">
        <v>97</v>
      </c>
      <c r="G15" s="341">
        <v>4502024</v>
      </c>
      <c r="H15" s="342" t="s">
        <v>255</v>
      </c>
      <c r="I15" s="341">
        <v>450202400</v>
      </c>
      <c r="J15" s="342" t="s">
        <v>256</v>
      </c>
      <c r="K15" s="344">
        <v>10</v>
      </c>
      <c r="L15" s="344"/>
      <c r="M15" s="344">
        <f t="shared" si="0"/>
        <v>10</v>
      </c>
      <c r="N15" s="345" t="s">
        <v>257</v>
      </c>
      <c r="O15" s="346" t="s">
        <v>258</v>
      </c>
      <c r="P15" s="46" t="s">
        <v>268</v>
      </c>
      <c r="Q15" s="354">
        <v>25000000</v>
      </c>
      <c r="R15" s="129">
        <f>6500000+5000000</f>
        <v>11500000</v>
      </c>
      <c r="S15" s="130"/>
      <c r="T15" s="130"/>
      <c r="U15" s="935">
        <f>+Q15-R15+S15-T15</f>
        <v>13500000</v>
      </c>
      <c r="V15" s="353" t="s">
        <v>265</v>
      </c>
      <c r="W15" s="329">
        <v>20</v>
      </c>
      <c r="X15" s="329" t="s">
        <v>67</v>
      </c>
      <c r="Y15" s="350">
        <v>1650</v>
      </c>
      <c r="Z15" s="350">
        <v>1850</v>
      </c>
      <c r="AA15" s="351">
        <v>500</v>
      </c>
      <c r="AB15" s="351">
        <v>200</v>
      </c>
      <c r="AC15" s="350">
        <v>2700</v>
      </c>
      <c r="AD15" s="351">
        <v>100</v>
      </c>
      <c r="AE15" s="351">
        <v>80</v>
      </c>
      <c r="AF15" s="351">
        <v>80</v>
      </c>
      <c r="AG15" s="351">
        <v>0</v>
      </c>
      <c r="AH15" s="351">
        <v>0</v>
      </c>
      <c r="AI15" s="351">
        <v>0</v>
      </c>
      <c r="AJ15" s="351">
        <v>0</v>
      </c>
      <c r="AK15" s="351">
        <v>0</v>
      </c>
      <c r="AL15" s="351">
        <v>20</v>
      </c>
      <c r="AM15" s="351">
        <v>0</v>
      </c>
      <c r="AN15" s="350">
        <f t="shared" si="1"/>
        <v>3500</v>
      </c>
      <c r="AO15" s="330">
        <v>46023</v>
      </c>
      <c r="AP15" s="330">
        <v>46387</v>
      </c>
      <c r="AQ15" s="352" t="s">
        <v>261</v>
      </c>
      <c r="AR15" s="8"/>
      <c r="AS15" s="8"/>
      <c r="AT15" s="8"/>
      <c r="AU15" s="8"/>
      <c r="AV15" s="8"/>
      <c r="AW15" s="8"/>
      <c r="AX15" s="8"/>
      <c r="AY15" s="8"/>
      <c r="AZ15" s="8"/>
      <c r="BA15" s="8"/>
      <c r="BB15" s="8"/>
      <c r="BC15" s="8"/>
      <c r="BD15" s="8"/>
      <c r="BE15" s="8"/>
      <c r="BF15" s="8"/>
    </row>
    <row r="16" spans="1:61" s="132" customFormat="1" ht="107.25">
      <c r="A16" s="341">
        <v>4</v>
      </c>
      <c r="B16" s="342" t="s">
        <v>253</v>
      </c>
      <c r="C16" s="343">
        <v>45</v>
      </c>
      <c r="D16" s="342" t="s">
        <v>254</v>
      </c>
      <c r="E16" s="341">
        <v>4502</v>
      </c>
      <c r="F16" s="342" t="s">
        <v>97</v>
      </c>
      <c r="G16" s="341">
        <v>4502024</v>
      </c>
      <c r="H16" s="342" t="s">
        <v>255</v>
      </c>
      <c r="I16" s="341">
        <v>450202400</v>
      </c>
      <c r="J16" s="342" t="s">
        <v>256</v>
      </c>
      <c r="K16" s="344">
        <v>10</v>
      </c>
      <c r="L16" s="344"/>
      <c r="M16" s="344">
        <f t="shared" si="0"/>
        <v>10</v>
      </c>
      <c r="N16" s="345" t="s">
        <v>257</v>
      </c>
      <c r="O16" s="346" t="s">
        <v>258</v>
      </c>
      <c r="P16" s="46" t="s">
        <v>269</v>
      </c>
      <c r="Q16" s="354">
        <v>20000000</v>
      </c>
      <c r="R16" s="129">
        <f>3000000+5000000</f>
        <v>8000000</v>
      </c>
      <c r="S16" s="130"/>
      <c r="T16" s="130"/>
      <c r="U16" s="935">
        <f>+Q16-R16+S16-T16</f>
        <v>12000000</v>
      </c>
      <c r="V16" s="353" t="s">
        <v>265</v>
      </c>
      <c r="W16" s="329">
        <v>20</v>
      </c>
      <c r="X16" s="329" t="s">
        <v>67</v>
      </c>
      <c r="Y16" s="350">
        <v>1650</v>
      </c>
      <c r="Z16" s="350">
        <v>1850</v>
      </c>
      <c r="AA16" s="351">
        <v>500</v>
      </c>
      <c r="AB16" s="351">
        <v>200</v>
      </c>
      <c r="AC16" s="350">
        <v>2700</v>
      </c>
      <c r="AD16" s="351">
        <v>100</v>
      </c>
      <c r="AE16" s="351">
        <v>80</v>
      </c>
      <c r="AF16" s="351">
        <v>80</v>
      </c>
      <c r="AG16" s="351">
        <v>0</v>
      </c>
      <c r="AH16" s="351">
        <v>0</v>
      </c>
      <c r="AI16" s="351">
        <v>0</v>
      </c>
      <c r="AJ16" s="351">
        <v>0</v>
      </c>
      <c r="AK16" s="351">
        <v>0</v>
      </c>
      <c r="AL16" s="351">
        <v>20</v>
      </c>
      <c r="AM16" s="351">
        <v>0</v>
      </c>
      <c r="AN16" s="350">
        <f t="shared" si="1"/>
        <v>3500</v>
      </c>
      <c r="AO16" s="330">
        <v>46023</v>
      </c>
      <c r="AP16" s="330">
        <v>46387</v>
      </c>
      <c r="AQ16" s="352" t="s">
        <v>261</v>
      </c>
      <c r="AR16" s="8"/>
      <c r="AS16" s="8"/>
      <c r="AT16" s="8"/>
      <c r="AU16" s="8"/>
      <c r="AV16" s="8"/>
      <c r="AW16" s="8"/>
      <c r="AX16" s="8"/>
      <c r="AY16" s="8"/>
      <c r="AZ16" s="8"/>
      <c r="BA16" s="8"/>
      <c r="BB16" s="8"/>
      <c r="BC16" s="8"/>
      <c r="BD16" s="8"/>
      <c r="BE16" s="8"/>
      <c r="BF16" s="8"/>
    </row>
    <row r="17" spans="1:58" s="132" customFormat="1" ht="107.25">
      <c r="A17" s="341">
        <v>4</v>
      </c>
      <c r="B17" s="342" t="s">
        <v>253</v>
      </c>
      <c r="C17" s="343">
        <v>45</v>
      </c>
      <c r="D17" s="342" t="s">
        <v>254</v>
      </c>
      <c r="E17" s="341">
        <v>4502</v>
      </c>
      <c r="F17" s="342" t="s">
        <v>97</v>
      </c>
      <c r="G17" s="341">
        <v>4502024</v>
      </c>
      <c r="H17" s="342" t="s">
        <v>255</v>
      </c>
      <c r="I17" s="341">
        <v>450202400</v>
      </c>
      <c r="J17" s="342" t="s">
        <v>256</v>
      </c>
      <c r="K17" s="344">
        <v>10</v>
      </c>
      <c r="L17" s="344"/>
      <c r="M17" s="344">
        <f t="shared" si="0"/>
        <v>10</v>
      </c>
      <c r="N17" s="345" t="s">
        <v>257</v>
      </c>
      <c r="O17" s="346" t="s">
        <v>258</v>
      </c>
      <c r="P17" s="46" t="s">
        <v>270</v>
      </c>
      <c r="Q17" s="354">
        <v>3000000</v>
      </c>
      <c r="R17" s="129"/>
      <c r="S17" s="130"/>
      <c r="T17" s="130"/>
      <c r="U17" s="935">
        <f>+Q17-R17+S17-T17</f>
        <v>3000000</v>
      </c>
      <c r="V17" s="353" t="s">
        <v>265</v>
      </c>
      <c r="W17" s="329">
        <v>20</v>
      </c>
      <c r="X17" s="329" t="s">
        <v>67</v>
      </c>
      <c r="Y17" s="350">
        <v>1650</v>
      </c>
      <c r="Z17" s="350">
        <v>1850</v>
      </c>
      <c r="AA17" s="351">
        <v>500</v>
      </c>
      <c r="AB17" s="351">
        <v>200</v>
      </c>
      <c r="AC17" s="350">
        <v>2700</v>
      </c>
      <c r="AD17" s="351">
        <v>100</v>
      </c>
      <c r="AE17" s="351">
        <v>80</v>
      </c>
      <c r="AF17" s="351">
        <v>80</v>
      </c>
      <c r="AG17" s="351">
        <v>0</v>
      </c>
      <c r="AH17" s="351">
        <v>0</v>
      </c>
      <c r="AI17" s="351">
        <v>0</v>
      </c>
      <c r="AJ17" s="351">
        <v>0</v>
      </c>
      <c r="AK17" s="351">
        <v>0</v>
      </c>
      <c r="AL17" s="351">
        <v>20</v>
      </c>
      <c r="AM17" s="351">
        <v>0</v>
      </c>
      <c r="AN17" s="350">
        <f t="shared" si="1"/>
        <v>3500</v>
      </c>
      <c r="AO17" s="330">
        <v>46023</v>
      </c>
      <c r="AP17" s="330">
        <v>46387</v>
      </c>
      <c r="AQ17" s="352" t="s">
        <v>261</v>
      </c>
      <c r="AR17" s="8"/>
      <c r="AS17" s="8"/>
      <c r="AT17" s="8"/>
      <c r="AU17" s="8"/>
      <c r="AV17" s="8"/>
      <c r="AW17" s="8"/>
      <c r="AX17" s="8"/>
      <c r="AY17" s="8"/>
      <c r="AZ17" s="8"/>
      <c r="BA17" s="8"/>
      <c r="BB17" s="8"/>
      <c r="BC17" s="8"/>
      <c r="BD17" s="8"/>
      <c r="BE17" s="8"/>
      <c r="BF17" s="8"/>
    </row>
    <row r="18" spans="1:58" s="132" customFormat="1" ht="107.25">
      <c r="A18" s="341">
        <v>4</v>
      </c>
      <c r="B18" s="342" t="s">
        <v>253</v>
      </c>
      <c r="C18" s="343">
        <v>45</v>
      </c>
      <c r="D18" s="342" t="s">
        <v>254</v>
      </c>
      <c r="E18" s="341">
        <v>4502</v>
      </c>
      <c r="F18" s="342" t="s">
        <v>97</v>
      </c>
      <c r="G18" s="341">
        <v>4502024</v>
      </c>
      <c r="H18" s="342" t="s">
        <v>255</v>
      </c>
      <c r="I18" s="341">
        <v>450202400</v>
      </c>
      <c r="J18" s="342" t="s">
        <v>256</v>
      </c>
      <c r="K18" s="344">
        <v>10</v>
      </c>
      <c r="L18" s="344"/>
      <c r="M18" s="344">
        <f t="shared" si="0"/>
        <v>10</v>
      </c>
      <c r="N18" s="345" t="s">
        <v>257</v>
      </c>
      <c r="O18" s="346" t="s">
        <v>258</v>
      </c>
      <c r="P18" s="46" t="s">
        <v>271</v>
      </c>
      <c r="Q18" s="354">
        <v>45000000</v>
      </c>
      <c r="R18" s="129">
        <v>3000000</v>
      </c>
      <c r="S18" s="130"/>
      <c r="T18" s="130"/>
      <c r="U18" s="935">
        <f>+Q18-R18+S18-T18</f>
        <v>42000000</v>
      </c>
      <c r="V18" s="353" t="s">
        <v>265</v>
      </c>
      <c r="W18" s="329">
        <v>20</v>
      </c>
      <c r="X18" s="329" t="s">
        <v>67</v>
      </c>
      <c r="Y18" s="350">
        <v>1650</v>
      </c>
      <c r="Z18" s="350">
        <v>1850</v>
      </c>
      <c r="AA18" s="351">
        <v>500</v>
      </c>
      <c r="AB18" s="351">
        <v>200</v>
      </c>
      <c r="AC18" s="350">
        <v>2700</v>
      </c>
      <c r="AD18" s="351">
        <v>100</v>
      </c>
      <c r="AE18" s="351">
        <v>80</v>
      </c>
      <c r="AF18" s="351">
        <v>80</v>
      </c>
      <c r="AG18" s="351">
        <v>0</v>
      </c>
      <c r="AH18" s="351">
        <v>0</v>
      </c>
      <c r="AI18" s="351">
        <v>0</v>
      </c>
      <c r="AJ18" s="351">
        <v>0</v>
      </c>
      <c r="AK18" s="351">
        <v>0</v>
      </c>
      <c r="AL18" s="351">
        <v>20</v>
      </c>
      <c r="AM18" s="351">
        <v>0</v>
      </c>
      <c r="AN18" s="350">
        <f t="shared" si="1"/>
        <v>3500</v>
      </c>
      <c r="AO18" s="330">
        <v>46023</v>
      </c>
      <c r="AP18" s="330">
        <v>46387</v>
      </c>
      <c r="AQ18" s="352" t="s">
        <v>261</v>
      </c>
      <c r="AR18" s="8"/>
      <c r="AS18" s="8"/>
      <c r="AT18" s="8"/>
      <c r="AU18" s="8"/>
      <c r="AV18" s="8"/>
      <c r="AW18" s="8"/>
      <c r="AX18" s="8"/>
      <c r="AY18" s="8"/>
      <c r="AZ18" s="8"/>
      <c r="BA18" s="8"/>
      <c r="BB18" s="8"/>
      <c r="BC18" s="8"/>
      <c r="BD18" s="8"/>
      <c r="BE18" s="8"/>
      <c r="BF18" s="8"/>
    </row>
    <row r="19" spans="1:58" s="132" customFormat="1" ht="60">
      <c r="A19" s="327">
        <v>1</v>
      </c>
      <c r="B19" s="355" t="s">
        <v>272</v>
      </c>
      <c r="C19" s="356">
        <v>41</v>
      </c>
      <c r="D19" s="355" t="s">
        <v>273</v>
      </c>
      <c r="E19" s="327">
        <v>4101</v>
      </c>
      <c r="F19" s="355" t="s">
        <v>274</v>
      </c>
      <c r="G19" s="327">
        <v>4101011</v>
      </c>
      <c r="H19" s="357" t="s">
        <v>275</v>
      </c>
      <c r="I19" s="291">
        <v>410101100</v>
      </c>
      <c r="J19" s="357" t="s">
        <v>276</v>
      </c>
      <c r="K19" s="358">
        <v>12</v>
      </c>
      <c r="L19" s="358"/>
      <c r="M19" s="358">
        <f>+K19+L19</f>
        <v>12</v>
      </c>
      <c r="N19" s="327">
        <v>2024003630077</v>
      </c>
      <c r="O19" s="355" t="s">
        <v>277</v>
      </c>
      <c r="P19" s="270" t="s">
        <v>278</v>
      </c>
      <c r="Q19" s="359">
        <v>3000000</v>
      </c>
      <c r="R19" s="130"/>
      <c r="S19" s="130"/>
      <c r="T19" s="130"/>
      <c r="U19" s="935">
        <f>+Q19-R19+S19-T19</f>
        <v>3000000</v>
      </c>
      <c r="V19" s="360" t="s">
        <v>279</v>
      </c>
      <c r="W19" s="329">
        <v>20</v>
      </c>
      <c r="X19" s="329" t="s">
        <v>67</v>
      </c>
      <c r="Y19" s="350">
        <v>2100</v>
      </c>
      <c r="Z19" s="350">
        <v>2100</v>
      </c>
      <c r="AA19" s="351">
        <v>50</v>
      </c>
      <c r="AB19" s="351">
        <v>50</v>
      </c>
      <c r="AC19" s="350">
        <v>4000</v>
      </c>
      <c r="AD19" s="351">
        <v>100</v>
      </c>
      <c r="AE19" s="351">
        <v>200</v>
      </c>
      <c r="AF19" s="351">
        <v>200</v>
      </c>
      <c r="AG19" s="351">
        <v>0</v>
      </c>
      <c r="AH19" s="351">
        <v>0</v>
      </c>
      <c r="AI19" s="351">
        <v>0</v>
      </c>
      <c r="AJ19" s="351">
        <v>0</v>
      </c>
      <c r="AK19" s="350">
        <v>3000</v>
      </c>
      <c r="AL19" s="351">
        <v>5</v>
      </c>
      <c r="AM19" s="350">
        <v>4200</v>
      </c>
      <c r="AN19" s="350">
        <v>4200</v>
      </c>
      <c r="AO19" s="330">
        <v>46023</v>
      </c>
      <c r="AP19" s="330">
        <v>46387</v>
      </c>
      <c r="AQ19" s="352" t="s">
        <v>261</v>
      </c>
      <c r="AR19" s="8"/>
      <c r="AS19" s="8"/>
      <c r="AT19" s="8"/>
      <c r="AU19" s="8"/>
      <c r="AV19" s="8"/>
      <c r="AW19" s="8"/>
      <c r="AX19" s="8"/>
      <c r="AY19" s="8"/>
      <c r="AZ19" s="8"/>
      <c r="BA19" s="8"/>
      <c r="BB19" s="8"/>
      <c r="BC19" s="8"/>
      <c r="BD19" s="8"/>
      <c r="BE19" s="8"/>
      <c r="BF19" s="8"/>
    </row>
    <row r="20" spans="1:58" s="132" customFormat="1" ht="62.25" customHeight="1">
      <c r="A20" s="327">
        <v>1</v>
      </c>
      <c r="B20" s="355" t="s">
        <v>272</v>
      </c>
      <c r="C20" s="356">
        <v>41</v>
      </c>
      <c r="D20" s="355" t="s">
        <v>273</v>
      </c>
      <c r="E20" s="327">
        <v>4101</v>
      </c>
      <c r="F20" s="355" t="s">
        <v>274</v>
      </c>
      <c r="G20" s="327">
        <v>4101011</v>
      </c>
      <c r="H20" s="357" t="s">
        <v>275</v>
      </c>
      <c r="I20" s="291">
        <v>410101100</v>
      </c>
      <c r="J20" s="357" t="s">
        <v>276</v>
      </c>
      <c r="K20" s="358">
        <v>12</v>
      </c>
      <c r="L20" s="358"/>
      <c r="M20" s="358">
        <f>+K20+L20</f>
        <v>12</v>
      </c>
      <c r="N20" s="327">
        <v>2024003630077</v>
      </c>
      <c r="O20" s="355" t="s">
        <v>277</v>
      </c>
      <c r="P20" s="270" t="s">
        <v>280</v>
      </c>
      <c r="Q20" s="359">
        <v>15000000</v>
      </c>
      <c r="R20" s="129">
        <f>2000000+2000000+2000000</f>
        <v>6000000</v>
      </c>
      <c r="S20" s="130"/>
      <c r="T20" s="130"/>
      <c r="U20" s="935">
        <f>+Q20-R20+S20-T20</f>
        <v>9000000</v>
      </c>
      <c r="V20" s="360" t="s">
        <v>281</v>
      </c>
      <c r="W20" s="329">
        <v>20</v>
      </c>
      <c r="X20" s="329" t="s">
        <v>67</v>
      </c>
      <c r="Y20" s="350">
        <v>2100</v>
      </c>
      <c r="Z20" s="350">
        <v>2100</v>
      </c>
      <c r="AA20" s="351">
        <v>50</v>
      </c>
      <c r="AB20" s="351">
        <v>50</v>
      </c>
      <c r="AC20" s="350">
        <v>4000</v>
      </c>
      <c r="AD20" s="351">
        <v>100</v>
      </c>
      <c r="AE20" s="351">
        <v>200</v>
      </c>
      <c r="AF20" s="351">
        <v>200</v>
      </c>
      <c r="AG20" s="351">
        <v>0</v>
      </c>
      <c r="AH20" s="351">
        <v>0</v>
      </c>
      <c r="AI20" s="351">
        <v>0</v>
      </c>
      <c r="AJ20" s="351">
        <v>0</v>
      </c>
      <c r="AK20" s="350">
        <v>3000</v>
      </c>
      <c r="AL20" s="351">
        <v>5</v>
      </c>
      <c r="AM20" s="350">
        <v>4200</v>
      </c>
      <c r="AN20" s="350">
        <v>4200</v>
      </c>
      <c r="AO20" s="330">
        <v>46023</v>
      </c>
      <c r="AP20" s="330">
        <v>46387</v>
      </c>
      <c r="AQ20" s="352" t="s">
        <v>261</v>
      </c>
      <c r="AR20" s="8"/>
      <c r="AS20" s="8"/>
      <c r="AT20" s="8"/>
      <c r="AU20" s="8"/>
      <c r="AV20" s="8"/>
      <c r="AW20" s="8"/>
      <c r="AX20" s="8"/>
      <c r="AY20" s="8"/>
      <c r="AZ20" s="8"/>
      <c r="BA20" s="8"/>
      <c r="BB20" s="8"/>
      <c r="BC20" s="8"/>
      <c r="BD20" s="8"/>
      <c r="BE20" s="8"/>
      <c r="BF20" s="8"/>
    </row>
    <row r="21" spans="1:58" s="132" customFormat="1" ht="60">
      <c r="A21" s="327">
        <v>1</v>
      </c>
      <c r="B21" s="355" t="s">
        <v>272</v>
      </c>
      <c r="C21" s="356">
        <v>41</v>
      </c>
      <c r="D21" s="355" t="s">
        <v>273</v>
      </c>
      <c r="E21" s="327">
        <v>4101</v>
      </c>
      <c r="F21" s="355" t="s">
        <v>274</v>
      </c>
      <c r="G21" s="327">
        <v>4101011</v>
      </c>
      <c r="H21" s="357" t="s">
        <v>275</v>
      </c>
      <c r="I21" s="291">
        <v>410101100</v>
      </c>
      <c r="J21" s="357" t="s">
        <v>276</v>
      </c>
      <c r="K21" s="358">
        <v>12</v>
      </c>
      <c r="L21" s="358"/>
      <c r="M21" s="358">
        <f>+K21+L21</f>
        <v>12</v>
      </c>
      <c r="N21" s="327">
        <v>2024003630077</v>
      </c>
      <c r="O21" s="355" t="s">
        <v>277</v>
      </c>
      <c r="P21" s="270" t="s">
        <v>282</v>
      </c>
      <c r="Q21" s="359">
        <v>10000000</v>
      </c>
      <c r="R21" s="130">
        <f>2000000+2500000+500000+500000+1000000+500000</f>
        <v>7000000</v>
      </c>
      <c r="S21" s="130">
        <v>1000000</v>
      </c>
      <c r="T21" s="130"/>
      <c r="U21" s="935">
        <f>+Q21-R21+S21-T21</f>
        <v>4000000</v>
      </c>
      <c r="V21" s="360" t="s">
        <v>281</v>
      </c>
      <c r="W21" s="329">
        <v>20</v>
      </c>
      <c r="X21" s="329" t="s">
        <v>67</v>
      </c>
      <c r="Y21" s="350">
        <v>2100</v>
      </c>
      <c r="Z21" s="350">
        <v>2100</v>
      </c>
      <c r="AA21" s="351">
        <v>50</v>
      </c>
      <c r="AB21" s="351">
        <v>50</v>
      </c>
      <c r="AC21" s="350">
        <v>4000</v>
      </c>
      <c r="AD21" s="351">
        <v>100</v>
      </c>
      <c r="AE21" s="351">
        <v>200</v>
      </c>
      <c r="AF21" s="351">
        <v>200</v>
      </c>
      <c r="AG21" s="351">
        <v>0</v>
      </c>
      <c r="AH21" s="351">
        <v>0</v>
      </c>
      <c r="AI21" s="351">
        <v>0</v>
      </c>
      <c r="AJ21" s="351">
        <v>0</v>
      </c>
      <c r="AK21" s="350">
        <v>3000</v>
      </c>
      <c r="AL21" s="351">
        <v>5</v>
      </c>
      <c r="AM21" s="350">
        <v>4200</v>
      </c>
      <c r="AN21" s="350">
        <v>4200</v>
      </c>
      <c r="AO21" s="330">
        <v>46023</v>
      </c>
      <c r="AP21" s="330">
        <v>46387</v>
      </c>
      <c r="AQ21" s="352" t="s">
        <v>261</v>
      </c>
      <c r="AR21" s="8"/>
      <c r="AS21" s="8"/>
      <c r="AT21" s="8"/>
      <c r="AU21" s="8"/>
      <c r="AV21" s="8"/>
      <c r="AW21" s="8"/>
      <c r="AX21" s="8"/>
      <c r="AY21" s="8"/>
      <c r="AZ21" s="8"/>
      <c r="BA21" s="8"/>
      <c r="BB21" s="8"/>
      <c r="BC21" s="8"/>
      <c r="BD21" s="8"/>
      <c r="BE21" s="8"/>
      <c r="BF21" s="8"/>
    </row>
    <row r="22" spans="1:58" s="132" customFormat="1" ht="55.5" customHeight="1">
      <c r="A22" s="327">
        <v>1</v>
      </c>
      <c r="B22" s="355" t="s">
        <v>272</v>
      </c>
      <c r="C22" s="356">
        <v>41</v>
      </c>
      <c r="D22" s="355" t="s">
        <v>273</v>
      </c>
      <c r="E22" s="327">
        <v>4101</v>
      </c>
      <c r="F22" s="355" t="s">
        <v>274</v>
      </c>
      <c r="G22" s="327">
        <v>4101011</v>
      </c>
      <c r="H22" s="357" t="s">
        <v>275</v>
      </c>
      <c r="I22" s="291">
        <v>410101100</v>
      </c>
      <c r="J22" s="357" t="s">
        <v>276</v>
      </c>
      <c r="K22" s="358">
        <v>12</v>
      </c>
      <c r="L22" s="358"/>
      <c r="M22" s="358">
        <f>+K22+L22</f>
        <v>12</v>
      </c>
      <c r="N22" s="327">
        <v>2024003630077</v>
      </c>
      <c r="O22" s="355" t="s">
        <v>277</v>
      </c>
      <c r="P22" s="270" t="s">
        <v>283</v>
      </c>
      <c r="Q22" s="359">
        <v>10000000</v>
      </c>
      <c r="R22" s="129"/>
      <c r="S22" s="130"/>
      <c r="T22" s="130"/>
      <c r="U22" s="935">
        <f>+Q22-R22+S22-T22</f>
        <v>10000000</v>
      </c>
      <c r="V22" s="360" t="s">
        <v>281</v>
      </c>
      <c r="W22" s="329">
        <v>20</v>
      </c>
      <c r="X22" s="329" t="s">
        <v>67</v>
      </c>
      <c r="Y22" s="350">
        <v>2100</v>
      </c>
      <c r="Z22" s="350">
        <v>2100</v>
      </c>
      <c r="AA22" s="351">
        <v>50</v>
      </c>
      <c r="AB22" s="351">
        <v>50</v>
      </c>
      <c r="AC22" s="350">
        <v>4000</v>
      </c>
      <c r="AD22" s="351">
        <v>100</v>
      </c>
      <c r="AE22" s="351">
        <v>200</v>
      </c>
      <c r="AF22" s="351">
        <v>200</v>
      </c>
      <c r="AG22" s="351">
        <v>0</v>
      </c>
      <c r="AH22" s="351">
        <v>0</v>
      </c>
      <c r="AI22" s="351">
        <v>0</v>
      </c>
      <c r="AJ22" s="351">
        <v>0</v>
      </c>
      <c r="AK22" s="350">
        <v>3000</v>
      </c>
      <c r="AL22" s="351">
        <v>5</v>
      </c>
      <c r="AM22" s="350">
        <v>4200</v>
      </c>
      <c r="AN22" s="350">
        <v>4200</v>
      </c>
      <c r="AO22" s="330">
        <v>46023</v>
      </c>
      <c r="AP22" s="330">
        <v>46387</v>
      </c>
      <c r="AQ22" s="352" t="s">
        <v>261</v>
      </c>
      <c r="AR22" s="8"/>
      <c r="AS22" s="8"/>
      <c r="AT22" s="8"/>
      <c r="AU22" s="8"/>
      <c r="AV22" s="8"/>
      <c r="AW22" s="8"/>
      <c r="AX22" s="8"/>
      <c r="AY22" s="8"/>
      <c r="AZ22" s="8"/>
      <c r="BA22" s="8"/>
      <c r="BB22" s="8"/>
      <c r="BC22" s="8"/>
      <c r="BD22" s="8"/>
      <c r="BE22" s="8"/>
      <c r="BF22" s="8"/>
    </row>
    <row r="23" spans="1:58" s="132" customFormat="1" ht="74.099999999999994" customHeight="1">
      <c r="A23" s="327">
        <v>1</v>
      </c>
      <c r="B23" s="355" t="s">
        <v>272</v>
      </c>
      <c r="C23" s="356">
        <v>41</v>
      </c>
      <c r="D23" s="355" t="s">
        <v>273</v>
      </c>
      <c r="E23" s="327">
        <v>4101</v>
      </c>
      <c r="F23" s="355" t="s">
        <v>274</v>
      </c>
      <c r="G23" s="327">
        <v>4101023</v>
      </c>
      <c r="H23" s="357" t="s">
        <v>284</v>
      </c>
      <c r="I23" s="327">
        <v>410102300</v>
      </c>
      <c r="J23" s="357" t="s">
        <v>285</v>
      </c>
      <c r="K23" s="358">
        <v>1000</v>
      </c>
      <c r="L23" s="358"/>
      <c r="M23" s="358">
        <f>+K23+L23</f>
        <v>1000</v>
      </c>
      <c r="N23" s="327">
        <v>2024003630077</v>
      </c>
      <c r="O23" s="355" t="s">
        <v>277</v>
      </c>
      <c r="P23" s="347" t="s">
        <v>286</v>
      </c>
      <c r="Q23" s="359">
        <v>10000000</v>
      </c>
      <c r="R23" s="129">
        <v>1000000</v>
      </c>
      <c r="S23" s="130"/>
      <c r="T23" s="130"/>
      <c r="U23" s="935">
        <f>+Q23-R23+S23-T23</f>
        <v>9000000</v>
      </c>
      <c r="V23" s="353" t="s">
        <v>287</v>
      </c>
      <c r="W23" s="329">
        <v>20</v>
      </c>
      <c r="X23" s="329" t="s">
        <v>67</v>
      </c>
      <c r="Y23" s="350">
        <v>2100</v>
      </c>
      <c r="Z23" s="350">
        <v>2100</v>
      </c>
      <c r="AA23" s="351">
        <v>50</v>
      </c>
      <c r="AB23" s="351">
        <v>50</v>
      </c>
      <c r="AC23" s="350">
        <v>4000</v>
      </c>
      <c r="AD23" s="351">
        <v>100</v>
      </c>
      <c r="AE23" s="351">
        <v>200</v>
      </c>
      <c r="AF23" s="351">
        <v>200</v>
      </c>
      <c r="AG23" s="351">
        <v>0</v>
      </c>
      <c r="AH23" s="351">
        <v>0</v>
      </c>
      <c r="AI23" s="351">
        <v>0</v>
      </c>
      <c r="AJ23" s="351">
        <v>0</v>
      </c>
      <c r="AK23" s="350">
        <v>3000</v>
      </c>
      <c r="AL23" s="351">
        <v>5</v>
      </c>
      <c r="AM23" s="350">
        <v>4200</v>
      </c>
      <c r="AN23" s="350">
        <v>4200</v>
      </c>
      <c r="AO23" s="330">
        <v>46023</v>
      </c>
      <c r="AP23" s="330">
        <v>46387</v>
      </c>
      <c r="AQ23" s="352" t="s">
        <v>261</v>
      </c>
      <c r="AR23" s="8"/>
      <c r="AS23" s="8"/>
      <c r="AT23" s="8"/>
      <c r="AU23" s="8"/>
      <c r="AV23" s="8"/>
      <c r="AW23" s="8"/>
      <c r="AX23" s="8"/>
      <c r="AY23" s="8"/>
      <c r="AZ23" s="8"/>
      <c r="BA23" s="8"/>
      <c r="BB23" s="8"/>
      <c r="BC23" s="8"/>
      <c r="BD23" s="8"/>
      <c r="BE23" s="8"/>
      <c r="BF23" s="8"/>
    </row>
    <row r="24" spans="1:58" s="132" customFormat="1" ht="48">
      <c r="A24" s="327">
        <v>1</v>
      </c>
      <c r="B24" s="355" t="s">
        <v>272</v>
      </c>
      <c r="C24" s="356">
        <v>41</v>
      </c>
      <c r="D24" s="355" t="s">
        <v>273</v>
      </c>
      <c r="E24" s="327">
        <v>4101</v>
      </c>
      <c r="F24" s="355" t="s">
        <v>274</v>
      </c>
      <c r="G24" s="327">
        <v>4101023</v>
      </c>
      <c r="H24" s="357" t="s">
        <v>284</v>
      </c>
      <c r="I24" s="327">
        <v>410102300</v>
      </c>
      <c r="J24" s="357" t="s">
        <v>285</v>
      </c>
      <c r="K24" s="358">
        <v>1000</v>
      </c>
      <c r="L24" s="358"/>
      <c r="M24" s="358">
        <f t="shared" ref="M24:M40" si="2">+K24+L24</f>
        <v>1000</v>
      </c>
      <c r="N24" s="327">
        <v>2024003630077</v>
      </c>
      <c r="O24" s="355" t="s">
        <v>277</v>
      </c>
      <c r="P24" s="347" t="s">
        <v>288</v>
      </c>
      <c r="Q24" s="359">
        <v>35000000</v>
      </c>
      <c r="R24" s="129">
        <f>1900000+1000000+1100000</f>
        <v>4000000</v>
      </c>
      <c r="S24" s="130">
        <v>1100000</v>
      </c>
      <c r="T24" s="130"/>
      <c r="U24" s="935">
        <f>+Q24-R24+S24-T24</f>
        <v>32100000</v>
      </c>
      <c r="V24" s="353" t="s">
        <v>287</v>
      </c>
      <c r="W24" s="329">
        <v>20</v>
      </c>
      <c r="X24" s="329" t="s">
        <v>67</v>
      </c>
      <c r="Y24" s="350">
        <v>2100</v>
      </c>
      <c r="Z24" s="350">
        <v>2100</v>
      </c>
      <c r="AA24" s="351">
        <v>50</v>
      </c>
      <c r="AB24" s="351">
        <v>50</v>
      </c>
      <c r="AC24" s="350">
        <v>4000</v>
      </c>
      <c r="AD24" s="351">
        <v>100</v>
      </c>
      <c r="AE24" s="351">
        <v>200</v>
      </c>
      <c r="AF24" s="351">
        <v>200</v>
      </c>
      <c r="AG24" s="351">
        <v>0</v>
      </c>
      <c r="AH24" s="351">
        <v>0</v>
      </c>
      <c r="AI24" s="351">
        <v>0</v>
      </c>
      <c r="AJ24" s="351">
        <v>0</v>
      </c>
      <c r="AK24" s="350">
        <v>3000</v>
      </c>
      <c r="AL24" s="351">
        <v>5</v>
      </c>
      <c r="AM24" s="350">
        <v>4200</v>
      </c>
      <c r="AN24" s="350">
        <f>+Y24+Z24</f>
        <v>4200</v>
      </c>
      <c r="AO24" s="330">
        <v>46023</v>
      </c>
      <c r="AP24" s="330">
        <v>46387</v>
      </c>
      <c r="AQ24" s="352" t="s">
        <v>261</v>
      </c>
      <c r="AR24" s="8"/>
      <c r="AS24" s="8"/>
      <c r="AT24" s="8"/>
      <c r="AU24" s="8"/>
      <c r="AV24" s="8"/>
      <c r="AW24" s="8"/>
      <c r="AX24" s="8"/>
      <c r="AY24" s="8"/>
      <c r="AZ24" s="8"/>
      <c r="BA24" s="8"/>
      <c r="BB24" s="8"/>
      <c r="BC24" s="8"/>
      <c r="BD24" s="8"/>
      <c r="BE24" s="8"/>
      <c r="BF24" s="8"/>
    </row>
    <row r="25" spans="1:58" s="132" customFormat="1" ht="81.599999999999994" customHeight="1">
      <c r="A25" s="327">
        <v>1</v>
      </c>
      <c r="B25" s="355" t="s">
        <v>272</v>
      </c>
      <c r="C25" s="356">
        <v>41</v>
      </c>
      <c r="D25" s="355" t="s">
        <v>273</v>
      </c>
      <c r="E25" s="327">
        <v>4101</v>
      </c>
      <c r="F25" s="355" t="s">
        <v>274</v>
      </c>
      <c r="G25" s="327">
        <v>4101023</v>
      </c>
      <c r="H25" s="357" t="s">
        <v>284</v>
      </c>
      <c r="I25" s="327">
        <v>410102300</v>
      </c>
      <c r="J25" s="357" t="s">
        <v>285</v>
      </c>
      <c r="K25" s="358">
        <v>1000</v>
      </c>
      <c r="L25" s="358"/>
      <c r="M25" s="358">
        <f t="shared" si="2"/>
        <v>1000</v>
      </c>
      <c r="N25" s="327">
        <v>2024003630077</v>
      </c>
      <c r="O25" s="355" t="s">
        <v>277</v>
      </c>
      <c r="P25" s="46" t="s">
        <v>289</v>
      </c>
      <c r="Q25" s="359">
        <v>35000000</v>
      </c>
      <c r="R25" s="129">
        <v>1000000</v>
      </c>
      <c r="S25" s="130"/>
      <c r="T25" s="130"/>
      <c r="U25" s="935">
        <f>+Q25-R25+S25-T25</f>
        <v>34000000</v>
      </c>
      <c r="V25" s="353" t="s">
        <v>287</v>
      </c>
      <c r="W25" s="329">
        <v>20</v>
      </c>
      <c r="X25" s="329" t="s">
        <v>67</v>
      </c>
      <c r="Y25" s="350">
        <v>2100</v>
      </c>
      <c r="Z25" s="350">
        <v>2100</v>
      </c>
      <c r="AA25" s="351">
        <v>50</v>
      </c>
      <c r="AB25" s="351">
        <v>50</v>
      </c>
      <c r="AC25" s="350">
        <v>4000</v>
      </c>
      <c r="AD25" s="351">
        <v>100</v>
      </c>
      <c r="AE25" s="351">
        <v>200</v>
      </c>
      <c r="AF25" s="351">
        <v>200</v>
      </c>
      <c r="AG25" s="351">
        <v>0</v>
      </c>
      <c r="AH25" s="351">
        <v>0</v>
      </c>
      <c r="AI25" s="351">
        <v>0</v>
      </c>
      <c r="AJ25" s="351">
        <v>0</v>
      </c>
      <c r="AK25" s="350">
        <v>3000</v>
      </c>
      <c r="AL25" s="351">
        <v>5</v>
      </c>
      <c r="AM25" s="350">
        <v>4200</v>
      </c>
      <c r="AN25" s="350">
        <f t="shared" ref="AN25:AN40" si="3">+Y25+Z25</f>
        <v>4200</v>
      </c>
      <c r="AO25" s="330">
        <v>46023</v>
      </c>
      <c r="AP25" s="330">
        <v>46387</v>
      </c>
      <c r="AQ25" s="352" t="s">
        <v>261</v>
      </c>
      <c r="AR25" s="8"/>
      <c r="AS25" s="8"/>
      <c r="AT25" s="8"/>
      <c r="AU25" s="8"/>
      <c r="AV25" s="8"/>
      <c r="AW25" s="8"/>
      <c r="AX25" s="8"/>
      <c r="AY25" s="8"/>
      <c r="AZ25" s="8"/>
      <c r="BA25" s="8"/>
      <c r="BB25" s="8"/>
      <c r="BC25" s="8"/>
      <c r="BD25" s="8"/>
      <c r="BE25" s="8"/>
      <c r="BF25" s="8"/>
    </row>
    <row r="26" spans="1:58" s="132" customFormat="1" ht="55.5" customHeight="1">
      <c r="A26" s="327">
        <v>1</v>
      </c>
      <c r="B26" s="355" t="s">
        <v>272</v>
      </c>
      <c r="C26" s="356">
        <v>41</v>
      </c>
      <c r="D26" s="355" t="s">
        <v>273</v>
      </c>
      <c r="E26" s="327">
        <v>4101</v>
      </c>
      <c r="F26" s="355" t="s">
        <v>274</v>
      </c>
      <c r="G26" s="327">
        <v>4101023</v>
      </c>
      <c r="H26" s="357" t="s">
        <v>284</v>
      </c>
      <c r="I26" s="327">
        <v>410102300</v>
      </c>
      <c r="J26" s="357" t="s">
        <v>285</v>
      </c>
      <c r="K26" s="358">
        <v>1000</v>
      </c>
      <c r="L26" s="358"/>
      <c r="M26" s="358">
        <f t="shared" si="2"/>
        <v>1000</v>
      </c>
      <c r="N26" s="327">
        <v>2024003630077</v>
      </c>
      <c r="O26" s="355" t="s">
        <v>277</v>
      </c>
      <c r="P26" s="46" t="s">
        <v>290</v>
      </c>
      <c r="Q26" s="359">
        <v>25000000</v>
      </c>
      <c r="R26" s="129"/>
      <c r="S26" s="130"/>
      <c r="T26" s="130"/>
      <c r="U26" s="935">
        <f>+Q26-R26+S26-T26</f>
        <v>25000000</v>
      </c>
      <c r="V26" s="353" t="s">
        <v>287</v>
      </c>
      <c r="W26" s="329">
        <v>20</v>
      </c>
      <c r="X26" s="329" t="s">
        <v>67</v>
      </c>
      <c r="Y26" s="350">
        <v>2100</v>
      </c>
      <c r="Z26" s="350">
        <v>2100</v>
      </c>
      <c r="AA26" s="351">
        <v>50</v>
      </c>
      <c r="AB26" s="351">
        <v>50</v>
      </c>
      <c r="AC26" s="350">
        <v>4000</v>
      </c>
      <c r="AD26" s="351">
        <v>100</v>
      </c>
      <c r="AE26" s="351">
        <v>200</v>
      </c>
      <c r="AF26" s="351">
        <v>200</v>
      </c>
      <c r="AG26" s="351">
        <v>0</v>
      </c>
      <c r="AH26" s="351">
        <v>0</v>
      </c>
      <c r="AI26" s="351">
        <v>0</v>
      </c>
      <c r="AJ26" s="351">
        <v>0</v>
      </c>
      <c r="AK26" s="350">
        <v>3000</v>
      </c>
      <c r="AL26" s="351">
        <v>5</v>
      </c>
      <c r="AM26" s="350">
        <v>4200</v>
      </c>
      <c r="AN26" s="350">
        <f t="shared" si="3"/>
        <v>4200</v>
      </c>
      <c r="AO26" s="330">
        <v>46023</v>
      </c>
      <c r="AP26" s="330">
        <v>46387</v>
      </c>
      <c r="AQ26" s="352" t="s">
        <v>261</v>
      </c>
      <c r="AR26" s="8"/>
      <c r="AS26" s="8"/>
      <c r="AT26" s="8"/>
      <c r="AU26" s="8"/>
      <c r="AV26" s="8"/>
      <c r="AW26" s="8"/>
      <c r="AX26" s="8"/>
      <c r="AY26" s="8"/>
      <c r="AZ26" s="8"/>
      <c r="BA26" s="8"/>
      <c r="BB26" s="8"/>
      <c r="BC26" s="8"/>
      <c r="BD26" s="8"/>
      <c r="BE26" s="8"/>
      <c r="BF26" s="8"/>
    </row>
    <row r="27" spans="1:58" s="132" customFormat="1" ht="55.5" customHeight="1">
      <c r="A27" s="327">
        <v>1</v>
      </c>
      <c r="B27" s="355" t="s">
        <v>272</v>
      </c>
      <c r="C27" s="356">
        <v>41</v>
      </c>
      <c r="D27" s="355" t="s">
        <v>273</v>
      </c>
      <c r="E27" s="327">
        <v>4101</v>
      </c>
      <c r="F27" s="355" t="s">
        <v>274</v>
      </c>
      <c r="G27" s="327">
        <v>4101023</v>
      </c>
      <c r="H27" s="357" t="s">
        <v>284</v>
      </c>
      <c r="I27" s="327">
        <v>410102300</v>
      </c>
      <c r="J27" s="357" t="s">
        <v>285</v>
      </c>
      <c r="K27" s="358">
        <v>1000</v>
      </c>
      <c r="L27" s="358"/>
      <c r="M27" s="358">
        <f t="shared" si="2"/>
        <v>1000</v>
      </c>
      <c r="N27" s="327">
        <v>2024003630077</v>
      </c>
      <c r="O27" s="355" t="s">
        <v>277</v>
      </c>
      <c r="P27" s="46" t="s">
        <v>291</v>
      </c>
      <c r="Q27" s="359">
        <v>25000000</v>
      </c>
      <c r="R27" s="129">
        <v>5000000</v>
      </c>
      <c r="S27" s="130"/>
      <c r="T27" s="130"/>
      <c r="U27" s="935">
        <f>+Q27-R27+S27-T27</f>
        <v>20000000</v>
      </c>
      <c r="V27" s="353" t="s">
        <v>287</v>
      </c>
      <c r="W27" s="329">
        <v>20</v>
      </c>
      <c r="X27" s="329" t="s">
        <v>67</v>
      </c>
      <c r="Y27" s="350">
        <v>2100</v>
      </c>
      <c r="Z27" s="350">
        <v>2100</v>
      </c>
      <c r="AA27" s="351">
        <v>50</v>
      </c>
      <c r="AB27" s="351">
        <v>50</v>
      </c>
      <c r="AC27" s="350">
        <v>4000</v>
      </c>
      <c r="AD27" s="351">
        <v>100</v>
      </c>
      <c r="AE27" s="351">
        <v>200</v>
      </c>
      <c r="AF27" s="351">
        <v>200</v>
      </c>
      <c r="AG27" s="351">
        <v>0</v>
      </c>
      <c r="AH27" s="351">
        <v>0</v>
      </c>
      <c r="AI27" s="351">
        <v>0</v>
      </c>
      <c r="AJ27" s="351">
        <v>0</v>
      </c>
      <c r="AK27" s="350">
        <v>3000</v>
      </c>
      <c r="AL27" s="351">
        <v>5</v>
      </c>
      <c r="AM27" s="350">
        <v>4200</v>
      </c>
      <c r="AN27" s="350">
        <f t="shared" si="3"/>
        <v>4200</v>
      </c>
      <c r="AO27" s="330">
        <v>46023</v>
      </c>
      <c r="AP27" s="330">
        <v>46387</v>
      </c>
      <c r="AQ27" s="352" t="s">
        <v>261</v>
      </c>
      <c r="AR27" s="8"/>
      <c r="AS27" s="8"/>
      <c r="AT27" s="8"/>
      <c r="AU27" s="8"/>
      <c r="AV27" s="8"/>
      <c r="AW27" s="8"/>
      <c r="AX27" s="8"/>
      <c r="AY27" s="8"/>
      <c r="AZ27" s="8"/>
      <c r="BA27" s="8"/>
      <c r="BB27" s="8"/>
      <c r="BC27" s="8"/>
      <c r="BD27" s="8"/>
      <c r="BE27" s="8"/>
      <c r="BF27" s="8"/>
    </row>
    <row r="28" spans="1:58" s="132" customFormat="1" ht="110.45" customHeight="1">
      <c r="A28" s="327">
        <v>1</v>
      </c>
      <c r="B28" s="355" t="s">
        <v>272</v>
      </c>
      <c r="C28" s="356">
        <v>41</v>
      </c>
      <c r="D28" s="355" t="s">
        <v>273</v>
      </c>
      <c r="E28" s="327">
        <v>4101</v>
      </c>
      <c r="F28" s="355" t="s">
        <v>274</v>
      </c>
      <c r="G28" s="327">
        <v>4101023</v>
      </c>
      <c r="H28" s="357" t="s">
        <v>284</v>
      </c>
      <c r="I28" s="327">
        <v>410102300</v>
      </c>
      <c r="J28" s="357" t="s">
        <v>285</v>
      </c>
      <c r="K28" s="358">
        <v>1000</v>
      </c>
      <c r="L28" s="358"/>
      <c r="M28" s="358">
        <f t="shared" si="2"/>
        <v>1000</v>
      </c>
      <c r="N28" s="327">
        <v>2024003630077</v>
      </c>
      <c r="O28" s="355" t="s">
        <v>277</v>
      </c>
      <c r="P28" s="46" t="s">
        <v>292</v>
      </c>
      <c r="Q28" s="359">
        <v>25000000</v>
      </c>
      <c r="R28" s="129">
        <v>2000000</v>
      </c>
      <c r="S28" s="130"/>
      <c r="T28" s="130"/>
      <c r="U28" s="935">
        <f>+Q28-R28+S28-T28</f>
        <v>23000000</v>
      </c>
      <c r="V28" s="353" t="s">
        <v>287</v>
      </c>
      <c r="W28" s="329">
        <v>20</v>
      </c>
      <c r="X28" s="329" t="s">
        <v>67</v>
      </c>
      <c r="Y28" s="350">
        <v>2100</v>
      </c>
      <c r="Z28" s="350">
        <v>2100</v>
      </c>
      <c r="AA28" s="351">
        <v>50</v>
      </c>
      <c r="AB28" s="351">
        <v>50</v>
      </c>
      <c r="AC28" s="350">
        <v>4000</v>
      </c>
      <c r="AD28" s="351">
        <v>100</v>
      </c>
      <c r="AE28" s="351">
        <v>200</v>
      </c>
      <c r="AF28" s="351">
        <v>200</v>
      </c>
      <c r="AG28" s="351">
        <v>0</v>
      </c>
      <c r="AH28" s="351">
        <v>0</v>
      </c>
      <c r="AI28" s="351">
        <v>0</v>
      </c>
      <c r="AJ28" s="351">
        <v>0</v>
      </c>
      <c r="AK28" s="350">
        <v>3000</v>
      </c>
      <c r="AL28" s="351">
        <v>5</v>
      </c>
      <c r="AM28" s="350">
        <v>4200</v>
      </c>
      <c r="AN28" s="350">
        <f t="shared" si="3"/>
        <v>4200</v>
      </c>
      <c r="AO28" s="330">
        <v>46023</v>
      </c>
      <c r="AP28" s="330">
        <v>46387</v>
      </c>
      <c r="AQ28" s="352" t="s">
        <v>261</v>
      </c>
      <c r="AR28" s="8"/>
      <c r="AS28" s="8"/>
      <c r="AT28" s="8"/>
      <c r="AU28" s="8"/>
      <c r="AV28" s="8"/>
      <c r="AW28" s="8"/>
      <c r="AX28" s="8"/>
      <c r="AY28" s="8"/>
      <c r="AZ28" s="8"/>
      <c r="BA28" s="8"/>
      <c r="BB28" s="8"/>
      <c r="BC28" s="8"/>
      <c r="BD28" s="8"/>
      <c r="BE28" s="8"/>
      <c r="BF28" s="8"/>
    </row>
    <row r="29" spans="1:58" s="132" customFormat="1" ht="55.5" customHeight="1">
      <c r="A29" s="327">
        <v>1</v>
      </c>
      <c r="B29" s="355" t="s">
        <v>272</v>
      </c>
      <c r="C29" s="356">
        <v>41</v>
      </c>
      <c r="D29" s="355" t="s">
        <v>273</v>
      </c>
      <c r="E29" s="327">
        <v>4101</v>
      </c>
      <c r="F29" s="355" t="s">
        <v>274</v>
      </c>
      <c r="G29" s="327">
        <v>4101023</v>
      </c>
      <c r="H29" s="357" t="s">
        <v>284</v>
      </c>
      <c r="I29" s="327">
        <v>410102300</v>
      </c>
      <c r="J29" s="357" t="s">
        <v>285</v>
      </c>
      <c r="K29" s="358">
        <v>1000</v>
      </c>
      <c r="L29" s="358"/>
      <c r="M29" s="358">
        <f t="shared" si="2"/>
        <v>1000</v>
      </c>
      <c r="N29" s="327">
        <v>2024003630077</v>
      </c>
      <c r="O29" s="355" t="s">
        <v>277</v>
      </c>
      <c r="P29" s="46" t="s">
        <v>293</v>
      </c>
      <c r="Q29" s="359">
        <v>30000000</v>
      </c>
      <c r="R29" s="129">
        <f>1000000+1500000</f>
        <v>2500000</v>
      </c>
      <c r="S29" s="130"/>
      <c r="T29" s="130"/>
      <c r="U29" s="935">
        <f>+Q29-R29+S29-T29</f>
        <v>27500000</v>
      </c>
      <c r="V29" s="353" t="s">
        <v>287</v>
      </c>
      <c r="W29" s="329">
        <v>20</v>
      </c>
      <c r="X29" s="329" t="s">
        <v>67</v>
      </c>
      <c r="Y29" s="350">
        <v>2100</v>
      </c>
      <c r="Z29" s="350">
        <v>2100</v>
      </c>
      <c r="AA29" s="351">
        <v>50</v>
      </c>
      <c r="AB29" s="351">
        <v>50</v>
      </c>
      <c r="AC29" s="350">
        <v>4000</v>
      </c>
      <c r="AD29" s="351">
        <v>100</v>
      </c>
      <c r="AE29" s="351">
        <v>200</v>
      </c>
      <c r="AF29" s="351">
        <v>200</v>
      </c>
      <c r="AG29" s="351">
        <v>0</v>
      </c>
      <c r="AH29" s="351">
        <v>0</v>
      </c>
      <c r="AI29" s="351">
        <v>0</v>
      </c>
      <c r="AJ29" s="351">
        <v>0</v>
      </c>
      <c r="AK29" s="350">
        <v>3000</v>
      </c>
      <c r="AL29" s="351">
        <v>5</v>
      </c>
      <c r="AM29" s="350">
        <v>4200</v>
      </c>
      <c r="AN29" s="350">
        <f t="shared" si="3"/>
        <v>4200</v>
      </c>
      <c r="AO29" s="330">
        <v>46023</v>
      </c>
      <c r="AP29" s="330">
        <v>46387</v>
      </c>
      <c r="AQ29" s="352" t="s">
        <v>261</v>
      </c>
      <c r="AR29" s="8"/>
      <c r="AS29" s="8"/>
      <c r="AT29" s="8"/>
      <c r="AU29" s="8"/>
      <c r="AV29" s="8"/>
      <c r="AW29" s="8"/>
      <c r="AX29" s="8"/>
      <c r="AY29" s="8"/>
      <c r="AZ29" s="8"/>
      <c r="BA29" s="8"/>
      <c r="BB29" s="8"/>
      <c r="BC29" s="8"/>
      <c r="BD29" s="8"/>
      <c r="BE29" s="8"/>
      <c r="BF29" s="8"/>
    </row>
    <row r="30" spans="1:58" s="132" customFormat="1" ht="55.5" customHeight="1">
      <c r="A30" s="327">
        <v>1</v>
      </c>
      <c r="B30" s="355" t="s">
        <v>272</v>
      </c>
      <c r="C30" s="356">
        <v>41</v>
      </c>
      <c r="D30" s="355" t="s">
        <v>273</v>
      </c>
      <c r="E30" s="327">
        <v>4101</v>
      </c>
      <c r="F30" s="355" t="s">
        <v>274</v>
      </c>
      <c r="G30" s="327">
        <v>4101023</v>
      </c>
      <c r="H30" s="357" t="s">
        <v>284</v>
      </c>
      <c r="I30" s="327">
        <v>410102300</v>
      </c>
      <c r="J30" s="357" t="s">
        <v>285</v>
      </c>
      <c r="K30" s="358">
        <v>1000</v>
      </c>
      <c r="L30" s="358"/>
      <c r="M30" s="358">
        <f t="shared" si="2"/>
        <v>1000</v>
      </c>
      <c r="N30" s="327">
        <v>2024003630077</v>
      </c>
      <c r="O30" s="355" t="s">
        <v>277</v>
      </c>
      <c r="P30" s="46" t="s">
        <v>294</v>
      </c>
      <c r="Q30" s="359">
        <v>5000000</v>
      </c>
      <c r="R30" s="129"/>
      <c r="S30" s="130"/>
      <c r="T30" s="130"/>
      <c r="U30" s="935">
        <f>+Q30-R30+S30-T30</f>
        <v>5000000</v>
      </c>
      <c r="V30" s="353" t="s">
        <v>295</v>
      </c>
      <c r="W30" s="329">
        <v>20</v>
      </c>
      <c r="X30" s="329" t="s">
        <v>67</v>
      </c>
      <c r="Y30" s="350">
        <v>2100</v>
      </c>
      <c r="Z30" s="350">
        <v>2100</v>
      </c>
      <c r="AA30" s="351">
        <v>50</v>
      </c>
      <c r="AB30" s="351">
        <v>50</v>
      </c>
      <c r="AC30" s="350">
        <v>4000</v>
      </c>
      <c r="AD30" s="351">
        <v>100</v>
      </c>
      <c r="AE30" s="351">
        <v>200</v>
      </c>
      <c r="AF30" s="351">
        <v>200</v>
      </c>
      <c r="AG30" s="351">
        <v>0</v>
      </c>
      <c r="AH30" s="351">
        <v>0</v>
      </c>
      <c r="AI30" s="351">
        <v>0</v>
      </c>
      <c r="AJ30" s="351">
        <v>0</v>
      </c>
      <c r="AK30" s="350">
        <v>3000</v>
      </c>
      <c r="AL30" s="351">
        <v>5</v>
      </c>
      <c r="AM30" s="350">
        <v>4200</v>
      </c>
      <c r="AN30" s="350">
        <f t="shared" si="3"/>
        <v>4200</v>
      </c>
      <c r="AO30" s="330">
        <v>46023</v>
      </c>
      <c r="AP30" s="330">
        <v>46387</v>
      </c>
      <c r="AQ30" s="352" t="s">
        <v>261</v>
      </c>
      <c r="AR30" s="8"/>
      <c r="AS30" s="8"/>
      <c r="AT30" s="8"/>
      <c r="AU30" s="8"/>
      <c r="AV30" s="8"/>
      <c r="AW30" s="8"/>
      <c r="AX30" s="8"/>
      <c r="AY30" s="8"/>
      <c r="AZ30" s="8"/>
      <c r="BA30" s="8"/>
      <c r="BB30" s="8"/>
      <c r="BC30" s="8"/>
      <c r="BD30" s="8"/>
      <c r="BE30" s="8"/>
      <c r="BF30" s="8"/>
    </row>
    <row r="31" spans="1:58" s="132" customFormat="1" ht="55.5" customHeight="1">
      <c r="A31" s="327">
        <v>1</v>
      </c>
      <c r="B31" s="355" t="s">
        <v>272</v>
      </c>
      <c r="C31" s="356">
        <v>41</v>
      </c>
      <c r="D31" s="355" t="s">
        <v>273</v>
      </c>
      <c r="E31" s="327">
        <v>4101</v>
      </c>
      <c r="F31" s="355" t="s">
        <v>274</v>
      </c>
      <c r="G31" s="327">
        <v>4101023</v>
      </c>
      <c r="H31" s="357" t="s">
        <v>284</v>
      </c>
      <c r="I31" s="327">
        <v>410102300</v>
      </c>
      <c r="J31" s="357" t="s">
        <v>285</v>
      </c>
      <c r="K31" s="358">
        <v>1000</v>
      </c>
      <c r="L31" s="358"/>
      <c r="M31" s="358">
        <f t="shared" si="2"/>
        <v>1000</v>
      </c>
      <c r="N31" s="327">
        <v>2024003630077</v>
      </c>
      <c r="O31" s="355" t="s">
        <v>277</v>
      </c>
      <c r="P31" s="46" t="s">
        <v>296</v>
      </c>
      <c r="Q31" s="359">
        <v>10000000</v>
      </c>
      <c r="R31" s="129"/>
      <c r="S31" s="130"/>
      <c r="T31" s="130"/>
      <c r="U31" s="935">
        <f>+Q31-R31+S31-T31</f>
        <v>10000000</v>
      </c>
      <c r="V31" s="353" t="s">
        <v>297</v>
      </c>
      <c r="W31" s="329">
        <v>20</v>
      </c>
      <c r="X31" s="329" t="s">
        <v>67</v>
      </c>
      <c r="Y31" s="350">
        <v>2100</v>
      </c>
      <c r="Z31" s="350">
        <v>2100</v>
      </c>
      <c r="AA31" s="351">
        <v>50</v>
      </c>
      <c r="AB31" s="351">
        <v>50</v>
      </c>
      <c r="AC31" s="350">
        <v>4000</v>
      </c>
      <c r="AD31" s="351">
        <v>100</v>
      </c>
      <c r="AE31" s="351">
        <v>200</v>
      </c>
      <c r="AF31" s="351">
        <v>200</v>
      </c>
      <c r="AG31" s="351">
        <v>0</v>
      </c>
      <c r="AH31" s="351">
        <v>0</v>
      </c>
      <c r="AI31" s="351">
        <v>0</v>
      </c>
      <c r="AJ31" s="351">
        <v>0</v>
      </c>
      <c r="AK31" s="350">
        <v>3000</v>
      </c>
      <c r="AL31" s="351">
        <v>5</v>
      </c>
      <c r="AM31" s="350">
        <v>4200</v>
      </c>
      <c r="AN31" s="350">
        <f t="shared" si="3"/>
        <v>4200</v>
      </c>
      <c r="AO31" s="330">
        <v>46023</v>
      </c>
      <c r="AP31" s="330">
        <v>46387</v>
      </c>
      <c r="AQ31" s="352" t="s">
        <v>261</v>
      </c>
      <c r="AR31" s="8"/>
      <c r="AS31" s="8"/>
      <c r="AT31" s="8"/>
      <c r="AU31" s="8"/>
      <c r="AV31" s="8"/>
      <c r="AW31" s="8"/>
      <c r="AX31" s="8"/>
      <c r="AY31" s="8"/>
      <c r="AZ31" s="8"/>
      <c r="BA31" s="8"/>
      <c r="BB31" s="8"/>
      <c r="BC31" s="8"/>
      <c r="BD31" s="8"/>
      <c r="BE31" s="8"/>
      <c r="BF31" s="8"/>
    </row>
    <row r="32" spans="1:58" s="132" customFormat="1" ht="55.5" customHeight="1">
      <c r="A32" s="327">
        <v>1</v>
      </c>
      <c r="B32" s="355" t="s">
        <v>272</v>
      </c>
      <c r="C32" s="356">
        <v>41</v>
      </c>
      <c r="D32" s="355" t="s">
        <v>273</v>
      </c>
      <c r="E32" s="327">
        <v>4101</v>
      </c>
      <c r="F32" s="355" t="s">
        <v>274</v>
      </c>
      <c r="G32" s="327">
        <v>4101025</v>
      </c>
      <c r="H32" s="327" t="s">
        <v>298</v>
      </c>
      <c r="I32" s="327">
        <v>410102500</v>
      </c>
      <c r="J32" s="327" t="s">
        <v>299</v>
      </c>
      <c r="K32" s="112">
        <v>125</v>
      </c>
      <c r="L32" s="112">
        <v>34</v>
      </c>
      <c r="M32" s="128">
        <f t="shared" si="2"/>
        <v>159</v>
      </c>
      <c r="N32" s="327">
        <v>2024003630077</v>
      </c>
      <c r="O32" s="355" t="s">
        <v>277</v>
      </c>
      <c r="P32" s="46" t="s">
        <v>300</v>
      </c>
      <c r="Q32" s="361">
        <v>15000000</v>
      </c>
      <c r="R32" s="129"/>
      <c r="S32" s="130"/>
      <c r="T32" s="130"/>
      <c r="U32" s="935">
        <f>+Q32-R32+S32-T32</f>
        <v>15000000</v>
      </c>
      <c r="V32" s="353" t="s">
        <v>301</v>
      </c>
      <c r="W32" s="329">
        <v>20</v>
      </c>
      <c r="X32" s="329" t="s">
        <v>67</v>
      </c>
      <c r="Y32" s="350">
        <v>2100</v>
      </c>
      <c r="Z32" s="350">
        <v>2100</v>
      </c>
      <c r="AA32" s="351">
        <v>50</v>
      </c>
      <c r="AB32" s="351">
        <v>50</v>
      </c>
      <c r="AC32" s="350">
        <v>4000</v>
      </c>
      <c r="AD32" s="351">
        <v>100</v>
      </c>
      <c r="AE32" s="351">
        <v>200</v>
      </c>
      <c r="AF32" s="351">
        <v>200</v>
      </c>
      <c r="AG32" s="351">
        <v>0</v>
      </c>
      <c r="AH32" s="351">
        <v>0</v>
      </c>
      <c r="AI32" s="351">
        <v>0</v>
      </c>
      <c r="AJ32" s="351">
        <v>0</v>
      </c>
      <c r="AK32" s="350">
        <v>3000</v>
      </c>
      <c r="AL32" s="351">
        <v>5</v>
      </c>
      <c r="AM32" s="350">
        <v>4200</v>
      </c>
      <c r="AN32" s="350">
        <f t="shared" si="3"/>
        <v>4200</v>
      </c>
      <c r="AO32" s="330">
        <v>46023</v>
      </c>
      <c r="AP32" s="330">
        <v>46387</v>
      </c>
      <c r="AQ32" s="352" t="s">
        <v>261</v>
      </c>
      <c r="AR32" s="8"/>
      <c r="AS32" s="8"/>
      <c r="AT32" s="8"/>
      <c r="AU32" s="8"/>
      <c r="AV32" s="8"/>
      <c r="AW32" s="8"/>
      <c r="AX32" s="8"/>
      <c r="AY32" s="8"/>
      <c r="AZ32" s="8"/>
      <c r="BA32" s="8"/>
      <c r="BB32" s="8"/>
      <c r="BC32" s="8"/>
      <c r="BD32" s="8"/>
      <c r="BE32" s="8"/>
      <c r="BF32" s="8"/>
    </row>
    <row r="33" spans="1:58" s="132" customFormat="1" ht="77.45" customHeight="1">
      <c r="A33" s="327">
        <v>1</v>
      </c>
      <c r="B33" s="355" t="s">
        <v>272</v>
      </c>
      <c r="C33" s="356">
        <v>41</v>
      </c>
      <c r="D33" s="355" t="s">
        <v>273</v>
      </c>
      <c r="E33" s="327">
        <v>4101</v>
      </c>
      <c r="F33" s="355" t="s">
        <v>274</v>
      </c>
      <c r="G33" s="327">
        <v>4101025</v>
      </c>
      <c r="H33" s="327" t="s">
        <v>298</v>
      </c>
      <c r="I33" s="327">
        <v>410102500</v>
      </c>
      <c r="J33" s="327" t="s">
        <v>299</v>
      </c>
      <c r="K33" s="112">
        <v>125</v>
      </c>
      <c r="L33" s="112">
        <v>34</v>
      </c>
      <c r="M33" s="128">
        <f t="shared" si="2"/>
        <v>159</v>
      </c>
      <c r="N33" s="327">
        <v>2024003630077</v>
      </c>
      <c r="O33" s="355" t="s">
        <v>277</v>
      </c>
      <c r="P33" s="46" t="s">
        <v>302</v>
      </c>
      <c r="Q33" s="361">
        <v>30000000</v>
      </c>
      <c r="R33" s="129"/>
      <c r="S33" s="130"/>
      <c r="T33" s="130"/>
      <c r="U33" s="935">
        <f>+Q33-R33+S33-T33</f>
        <v>30000000</v>
      </c>
      <c r="V33" s="360" t="s">
        <v>301</v>
      </c>
      <c r="W33" s="329">
        <v>20</v>
      </c>
      <c r="X33" s="329" t="s">
        <v>67</v>
      </c>
      <c r="Y33" s="350">
        <v>2100</v>
      </c>
      <c r="Z33" s="350">
        <v>2100</v>
      </c>
      <c r="AA33" s="351">
        <v>50</v>
      </c>
      <c r="AB33" s="351">
        <v>50</v>
      </c>
      <c r="AC33" s="350">
        <v>4000</v>
      </c>
      <c r="AD33" s="351">
        <v>100</v>
      </c>
      <c r="AE33" s="351">
        <v>200</v>
      </c>
      <c r="AF33" s="351">
        <v>200</v>
      </c>
      <c r="AG33" s="351">
        <v>0</v>
      </c>
      <c r="AH33" s="351">
        <v>0</v>
      </c>
      <c r="AI33" s="351">
        <v>0</v>
      </c>
      <c r="AJ33" s="351">
        <v>0</v>
      </c>
      <c r="AK33" s="350">
        <v>3000</v>
      </c>
      <c r="AL33" s="351">
        <v>5</v>
      </c>
      <c r="AM33" s="350">
        <v>4200</v>
      </c>
      <c r="AN33" s="350">
        <f t="shared" si="3"/>
        <v>4200</v>
      </c>
      <c r="AO33" s="330">
        <v>46023</v>
      </c>
      <c r="AP33" s="330">
        <v>46387</v>
      </c>
      <c r="AQ33" s="352" t="s">
        <v>261</v>
      </c>
      <c r="AR33" s="8"/>
      <c r="AS33" s="8"/>
      <c r="AT33" s="8"/>
      <c r="AU33" s="8"/>
      <c r="AV33" s="8"/>
      <c r="AW33" s="8"/>
      <c r="AX33" s="8"/>
      <c r="AY33" s="8"/>
      <c r="AZ33" s="8"/>
      <c r="BA33" s="8"/>
      <c r="BB33" s="8"/>
      <c r="BC33" s="8"/>
      <c r="BD33" s="8"/>
      <c r="BE33" s="8"/>
      <c r="BF33" s="8"/>
    </row>
    <row r="34" spans="1:58" s="132" customFormat="1" ht="77.45" customHeight="1">
      <c r="A34" s="327">
        <v>1</v>
      </c>
      <c r="B34" s="355" t="s">
        <v>272</v>
      </c>
      <c r="C34" s="356">
        <v>41</v>
      </c>
      <c r="D34" s="355" t="s">
        <v>273</v>
      </c>
      <c r="E34" s="327">
        <v>4101</v>
      </c>
      <c r="F34" s="355" t="s">
        <v>274</v>
      </c>
      <c r="G34" s="327">
        <v>4101038</v>
      </c>
      <c r="H34" s="327" t="s">
        <v>303</v>
      </c>
      <c r="I34" s="327">
        <v>410103800</v>
      </c>
      <c r="J34" s="327" t="s">
        <v>304</v>
      </c>
      <c r="K34" s="358">
        <v>12</v>
      </c>
      <c r="L34" s="358"/>
      <c r="M34" s="358">
        <f t="shared" si="2"/>
        <v>12</v>
      </c>
      <c r="N34" s="327">
        <v>2024003630077</v>
      </c>
      <c r="O34" s="355" t="s">
        <v>277</v>
      </c>
      <c r="P34" s="46" t="s">
        <v>305</v>
      </c>
      <c r="Q34" s="361">
        <v>35000000</v>
      </c>
      <c r="R34" s="129">
        <f>900000+1500000</f>
        <v>2400000</v>
      </c>
      <c r="S34" s="130">
        <v>1500000</v>
      </c>
      <c r="T34" s="130"/>
      <c r="U34" s="935">
        <f>+Q34-R34+S34-T34</f>
        <v>34100000</v>
      </c>
      <c r="V34" s="353" t="s">
        <v>306</v>
      </c>
      <c r="W34" s="329">
        <v>20</v>
      </c>
      <c r="X34" s="329" t="s">
        <v>67</v>
      </c>
      <c r="Y34" s="350">
        <v>2100</v>
      </c>
      <c r="Z34" s="350">
        <v>2100</v>
      </c>
      <c r="AA34" s="351">
        <v>50</v>
      </c>
      <c r="AB34" s="351">
        <v>50</v>
      </c>
      <c r="AC34" s="350">
        <v>4000</v>
      </c>
      <c r="AD34" s="351">
        <v>100</v>
      </c>
      <c r="AE34" s="351">
        <v>200</v>
      </c>
      <c r="AF34" s="351">
        <v>200</v>
      </c>
      <c r="AG34" s="351">
        <v>0</v>
      </c>
      <c r="AH34" s="351">
        <v>0</v>
      </c>
      <c r="AI34" s="351">
        <v>0</v>
      </c>
      <c r="AJ34" s="351">
        <v>0</v>
      </c>
      <c r="AK34" s="350">
        <v>3000</v>
      </c>
      <c r="AL34" s="351">
        <v>5</v>
      </c>
      <c r="AM34" s="350">
        <v>4200</v>
      </c>
      <c r="AN34" s="350">
        <f t="shared" si="3"/>
        <v>4200</v>
      </c>
      <c r="AO34" s="330">
        <v>46023</v>
      </c>
      <c r="AP34" s="330">
        <v>46387</v>
      </c>
      <c r="AQ34" s="352" t="s">
        <v>261</v>
      </c>
      <c r="AR34" s="8"/>
      <c r="AS34" s="8"/>
      <c r="AT34" s="8"/>
      <c r="AU34" s="8"/>
      <c r="AV34" s="8"/>
      <c r="AW34" s="8"/>
      <c r="AX34" s="8"/>
      <c r="AY34" s="8"/>
      <c r="AZ34" s="8"/>
      <c r="BA34" s="8"/>
      <c r="BB34" s="8"/>
      <c r="BC34" s="8"/>
      <c r="BD34" s="8"/>
      <c r="BE34" s="8"/>
      <c r="BF34" s="8"/>
    </row>
    <row r="35" spans="1:58" s="132" customFormat="1" ht="77.45" customHeight="1">
      <c r="A35" s="327">
        <v>1</v>
      </c>
      <c r="B35" s="355" t="s">
        <v>272</v>
      </c>
      <c r="C35" s="356">
        <v>41</v>
      </c>
      <c r="D35" s="355" t="s">
        <v>273</v>
      </c>
      <c r="E35" s="327">
        <v>4101</v>
      </c>
      <c r="F35" s="355" t="s">
        <v>274</v>
      </c>
      <c r="G35" s="327">
        <v>4101038</v>
      </c>
      <c r="H35" s="327" t="s">
        <v>303</v>
      </c>
      <c r="I35" s="327">
        <v>410103800</v>
      </c>
      <c r="J35" s="327" t="s">
        <v>304</v>
      </c>
      <c r="K35" s="358">
        <v>12</v>
      </c>
      <c r="L35" s="358"/>
      <c r="M35" s="358">
        <f t="shared" si="2"/>
        <v>12</v>
      </c>
      <c r="N35" s="327">
        <v>2024003630077</v>
      </c>
      <c r="O35" s="355" t="s">
        <v>277</v>
      </c>
      <c r="P35" s="46" t="s">
        <v>307</v>
      </c>
      <c r="Q35" s="361">
        <v>1000000</v>
      </c>
      <c r="R35" s="129"/>
      <c r="S35" s="130"/>
      <c r="T35" s="130"/>
      <c r="U35" s="935">
        <f>+Q35-R35+S35-T35</f>
        <v>1000000</v>
      </c>
      <c r="V35" s="353" t="s">
        <v>308</v>
      </c>
      <c r="W35" s="329">
        <v>20</v>
      </c>
      <c r="X35" s="329" t="s">
        <v>67</v>
      </c>
      <c r="Y35" s="350">
        <v>2100</v>
      </c>
      <c r="Z35" s="350">
        <v>2100</v>
      </c>
      <c r="AA35" s="351">
        <v>50</v>
      </c>
      <c r="AB35" s="351">
        <v>50</v>
      </c>
      <c r="AC35" s="350">
        <v>4000</v>
      </c>
      <c r="AD35" s="351">
        <v>100</v>
      </c>
      <c r="AE35" s="351">
        <v>200</v>
      </c>
      <c r="AF35" s="351">
        <v>200</v>
      </c>
      <c r="AG35" s="351">
        <v>0</v>
      </c>
      <c r="AH35" s="351">
        <v>0</v>
      </c>
      <c r="AI35" s="351">
        <v>0</v>
      </c>
      <c r="AJ35" s="351">
        <v>0</v>
      </c>
      <c r="AK35" s="350">
        <v>3000</v>
      </c>
      <c r="AL35" s="351">
        <v>5</v>
      </c>
      <c r="AM35" s="350">
        <v>4200</v>
      </c>
      <c r="AN35" s="350">
        <f t="shared" si="3"/>
        <v>4200</v>
      </c>
      <c r="AO35" s="330">
        <v>46023</v>
      </c>
      <c r="AP35" s="330">
        <v>46387</v>
      </c>
      <c r="AQ35" s="352" t="s">
        <v>261</v>
      </c>
      <c r="AR35" s="8"/>
      <c r="AS35" s="8"/>
      <c r="AT35" s="8"/>
      <c r="AU35" s="8"/>
      <c r="AV35" s="8"/>
      <c r="AW35" s="8"/>
      <c r="AX35" s="8"/>
      <c r="AY35" s="8"/>
      <c r="AZ35" s="8"/>
      <c r="BA35" s="8"/>
      <c r="BB35" s="8"/>
      <c r="BC35" s="8"/>
      <c r="BD35" s="8"/>
      <c r="BE35" s="8"/>
      <c r="BF35" s="8"/>
    </row>
    <row r="36" spans="1:58" s="132" customFormat="1" ht="77.45" customHeight="1">
      <c r="A36" s="327">
        <v>1</v>
      </c>
      <c r="B36" s="355" t="s">
        <v>272</v>
      </c>
      <c r="C36" s="356">
        <v>41</v>
      </c>
      <c r="D36" s="355" t="s">
        <v>273</v>
      </c>
      <c r="E36" s="327">
        <v>4101</v>
      </c>
      <c r="F36" s="355" t="s">
        <v>274</v>
      </c>
      <c r="G36" s="327">
        <v>4101038</v>
      </c>
      <c r="H36" s="327" t="s">
        <v>303</v>
      </c>
      <c r="I36" s="327">
        <v>410103800</v>
      </c>
      <c r="J36" s="327" t="s">
        <v>304</v>
      </c>
      <c r="K36" s="358">
        <v>12</v>
      </c>
      <c r="L36" s="358"/>
      <c r="M36" s="358">
        <f t="shared" si="2"/>
        <v>12</v>
      </c>
      <c r="N36" s="327">
        <v>2024003630077</v>
      </c>
      <c r="O36" s="355" t="s">
        <v>277</v>
      </c>
      <c r="P36" s="46" t="s">
        <v>309</v>
      </c>
      <c r="Q36" s="361">
        <v>10000000</v>
      </c>
      <c r="R36" s="129"/>
      <c r="S36" s="130"/>
      <c r="T36" s="130"/>
      <c r="U36" s="935">
        <f>+Q36-R36+S36-T36</f>
        <v>10000000</v>
      </c>
      <c r="V36" s="353" t="s">
        <v>306</v>
      </c>
      <c r="W36" s="329">
        <v>20</v>
      </c>
      <c r="X36" s="329" t="s">
        <v>67</v>
      </c>
      <c r="Y36" s="350">
        <v>2100</v>
      </c>
      <c r="Z36" s="350">
        <v>2100</v>
      </c>
      <c r="AA36" s="351">
        <v>50</v>
      </c>
      <c r="AB36" s="351">
        <v>50</v>
      </c>
      <c r="AC36" s="350">
        <v>4000</v>
      </c>
      <c r="AD36" s="351">
        <v>100</v>
      </c>
      <c r="AE36" s="351">
        <v>200</v>
      </c>
      <c r="AF36" s="351">
        <v>200</v>
      </c>
      <c r="AG36" s="351">
        <v>0</v>
      </c>
      <c r="AH36" s="351">
        <v>0</v>
      </c>
      <c r="AI36" s="351">
        <v>0</v>
      </c>
      <c r="AJ36" s="351">
        <v>0</v>
      </c>
      <c r="AK36" s="350">
        <v>3000</v>
      </c>
      <c r="AL36" s="351">
        <v>5</v>
      </c>
      <c r="AM36" s="350">
        <v>4200</v>
      </c>
      <c r="AN36" s="350">
        <f t="shared" si="3"/>
        <v>4200</v>
      </c>
      <c r="AO36" s="330">
        <v>46023</v>
      </c>
      <c r="AP36" s="330">
        <v>46387</v>
      </c>
      <c r="AQ36" s="352" t="s">
        <v>261</v>
      </c>
      <c r="AR36" s="8"/>
      <c r="AS36" s="8"/>
      <c r="AT36" s="8"/>
      <c r="AU36" s="8"/>
      <c r="AV36" s="8"/>
      <c r="AW36" s="8"/>
      <c r="AX36" s="8"/>
      <c r="AY36" s="8"/>
      <c r="AZ36" s="8"/>
      <c r="BA36" s="8"/>
      <c r="BB36" s="8"/>
      <c r="BC36" s="8"/>
      <c r="BD36" s="8"/>
      <c r="BE36" s="8"/>
      <c r="BF36" s="8"/>
    </row>
    <row r="37" spans="1:58" s="132" customFormat="1" ht="77.45" customHeight="1">
      <c r="A37" s="327">
        <v>1</v>
      </c>
      <c r="B37" s="355" t="s">
        <v>272</v>
      </c>
      <c r="C37" s="356">
        <v>41</v>
      </c>
      <c r="D37" s="355" t="s">
        <v>273</v>
      </c>
      <c r="E37" s="327">
        <v>4101</v>
      </c>
      <c r="F37" s="355" t="s">
        <v>274</v>
      </c>
      <c r="G37" s="327">
        <v>4101038</v>
      </c>
      <c r="H37" s="327" t="s">
        <v>303</v>
      </c>
      <c r="I37" s="327">
        <v>410103800</v>
      </c>
      <c r="J37" s="327" t="s">
        <v>304</v>
      </c>
      <c r="K37" s="358">
        <v>12</v>
      </c>
      <c r="L37" s="358"/>
      <c r="M37" s="358">
        <f t="shared" si="2"/>
        <v>12</v>
      </c>
      <c r="N37" s="327">
        <v>2024003630077</v>
      </c>
      <c r="O37" s="355" t="s">
        <v>277</v>
      </c>
      <c r="P37" s="46" t="s">
        <v>310</v>
      </c>
      <c r="Q37" s="361">
        <v>7000000</v>
      </c>
      <c r="R37" s="129"/>
      <c r="S37" s="130"/>
      <c r="T37" s="130"/>
      <c r="U37" s="935">
        <f>+Q37-R37+S37-T37</f>
        <v>7000000</v>
      </c>
      <c r="V37" s="353" t="s">
        <v>311</v>
      </c>
      <c r="W37" s="329">
        <v>20</v>
      </c>
      <c r="X37" s="329" t="s">
        <v>67</v>
      </c>
      <c r="Y37" s="350">
        <v>2100</v>
      </c>
      <c r="Z37" s="350">
        <v>2100</v>
      </c>
      <c r="AA37" s="351">
        <v>50</v>
      </c>
      <c r="AB37" s="351">
        <v>50</v>
      </c>
      <c r="AC37" s="350">
        <v>4000</v>
      </c>
      <c r="AD37" s="351">
        <v>100</v>
      </c>
      <c r="AE37" s="351">
        <v>200</v>
      </c>
      <c r="AF37" s="351">
        <v>200</v>
      </c>
      <c r="AG37" s="351">
        <v>0</v>
      </c>
      <c r="AH37" s="351">
        <v>0</v>
      </c>
      <c r="AI37" s="351">
        <v>0</v>
      </c>
      <c r="AJ37" s="351">
        <v>0</v>
      </c>
      <c r="AK37" s="350">
        <v>3000</v>
      </c>
      <c r="AL37" s="351">
        <v>5</v>
      </c>
      <c r="AM37" s="350">
        <v>4200</v>
      </c>
      <c r="AN37" s="350">
        <f t="shared" si="3"/>
        <v>4200</v>
      </c>
      <c r="AO37" s="330">
        <v>46023</v>
      </c>
      <c r="AP37" s="330">
        <v>46387</v>
      </c>
      <c r="AQ37" s="352" t="s">
        <v>261</v>
      </c>
      <c r="AR37" s="8"/>
      <c r="AS37" s="8"/>
      <c r="AT37" s="8"/>
      <c r="AU37" s="8"/>
      <c r="AV37" s="8"/>
      <c r="AW37" s="8"/>
      <c r="AX37" s="8"/>
      <c r="AY37" s="8"/>
      <c r="AZ37" s="8"/>
      <c r="BA37" s="8"/>
      <c r="BB37" s="8"/>
      <c r="BC37" s="8"/>
      <c r="BD37" s="8"/>
      <c r="BE37" s="8"/>
      <c r="BF37" s="8"/>
    </row>
    <row r="38" spans="1:58" s="132" customFormat="1" ht="77.45" customHeight="1">
      <c r="A38" s="327">
        <v>1</v>
      </c>
      <c r="B38" s="355" t="s">
        <v>272</v>
      </c>
      <c r="C38" s="356">
        <v>41</v>
      </c>
      <c r="D38" s="355" t="s">
        <v>273</v>
      </c>
      <c r="E38" s="327">
        <v>4101</v>
      </c>
      <c r="F38" s="355" t="s">
        <v>274</v>
      </c>
      <c r="G38" s="327">
        <v>4101038</v>
      </c>
      <c r="H38" s="327" t="s">
        <v>303</v>
      </c>
      <c r="I38" s="327">
        <v>410103800</v>
      </c>
      <c r="J38" s="327" t="s">
        <v>304</v>
      </c>
      <c r="K38" s="358">
        <v>12</v>
      </c>
      <c r="L38" s="358"/>
      <c r="M38" s="358">
        <f t="shared" si="2"/>
        <v>12</v>
      </c>
      <c r="N38" s="327">
        <v>2024003630077</v>
      </c>
      <c r="O38" s="355" t="s">
        <v>277</v>
      </c>
      <c r="P38" s="46" t="s">
        <v>312</v>
      </c>
      <c r="Q38" s="361">
        <v>7000000</v>
      </c>
      <c r="R38" s="129"/>
      <c r="S38" s="130"/>
      <c r="T38" s="130"/>
      <c r="U38" s="935">
        <f>+Q38-R38+S38-T38</f>
        <v>7000000</v>
      </c>
      <c r="V38" s="353" t="s">
        <v>308</v>
      </c>
      <c r="W38" s="329">
        <v>20</v>
      </c>
      <c r="X38" s="329" t="s">
        <v>67</v>
      </c>
      <c r="Y38" s="350">
        <v>2100</v>
      </c>
      <c r="Z38" s="350">
        <v>2100</v>
      </c>
      <c r="AA38" s="351">
        <v>50</v>
      </c>
      <c r="AB38" s="351">
        <v>50</v>
      </c>
      <c r="AC38" s="350">
        <v>4000</v>
      </c>
      <c r="AD38" s="351">
        <v>100</v>
      </c>
      <c r="AE38" s="351">
        <v>200</v>
      </c>
      <c r="AF38" s="351">
        <v>200</v>
      </c>
      <c r="AG38" s="351">
        <v>0</v>
      </c>
      <c r="AH38" s="351">
        <v>0</v>
      </c>
      <c r="AI38" s="351">
        <v>0</v>
      </c>
      <c r="AJ38" s="351">
        <v>0</v>
      </c>
      <c r="AK38" s="350">
        <v>3000</v>
      </c>
      <c r="AL38" s="351">
        <v>5</v>
      </c>
      <c r="AM38" s="350">
        <v>4200</v>
      </c>
      <c r="AN38" s="350">
        <f t="shared" si="3"/>
        <v>4200</v>
      </c>
      <c r="AO38" s="330">
        <v>46023</v>
      </c>
      <c r="AP38" s="330">
        <v>46387</v>
      </c>
      <c r="AQ38" s="352" t="s">
        <v>261</v>
      </c>
      <c r="AR38" s="8"/>
      <c r="AS38" s="8"/>
      <c r="AT38" s="8"/>
      <c r="AU38" s="8"/>
      <c r="AV38" s="8"/>
      <c r="AW38" s="8"/>
      <c r="AX38" s="8"/>
      <c r="AY38" s="8"/>
      <c r="AZ38" s="8"/>
      <c r="BA38" s="8"/>
      <c r="BB38" s="8"/>
      <c r="BC38" s="8"/>
      <c r="BD38" s="8"/>
      <c r="BE38" s="8"/>
      <c r="BF38" s="8"/>
    </row>
    <row r="39" spans="1:58" s="132" customFormat="1" ht="77.45" customHeight="1">
      <c r="A39" s="327">
        <v>1</v>
      </c>
      <c r="B39" s="355" t="s">
        <v>272</v>
      </c>
      <c r="C39" s="356">
        <v>41</v>
      </c>
      <c r="D39" s="355" t="s">
        <v>273</v>
      </c>
      <c r="E39" s="327">
        <v>4101</v>
      </c>
      <c r="F39" s="355" t="s">
        <v>274</v>
      </c>
      <c r="G39" s="327">
        <v>4101038</v>
      </c>
      <c r="H39" s="327" t="s">
        <v>303</v>
      </c>
      <c r="I39" s="327">
        <v>410103800</v>
      </c>
      <c r="J39" s="327" t="s">
        <v>304</v>
      </c>
      <c r="K39" s="358">
        <v>12</v>
      </c>
      <c r="L39" s="358"/>
      <c r="M39" s="358">
        <f t="shared" si="2"/>
        <v>12</v>
      </c>
      <c r="N39" s="327">
        <v>2024003630077</v>
      </c>
      <c r="O39" s="355" t="s">
        <v>277</v>
      </c>
      <c r="P39" s="46" t="s">
        <v>313</v>
      </c>
      <c r="Q39" s="361">
        <v>4000000</v>
      </c>
      <c r="R39" s="129"/>
      <c r="S39" s="130"/>
      <c r="T39" s="130"/>
      <c r="U39" s="935">
        <f>+Q39-R39+S39-T39</f>
        <v>4000000</v>
      </c>
      <c r="V39" s="353" t="s">
        <v>306</v>
      </c>
      <c r="W39" s="329">
        <v>20</v>
      </c>
      <c r="X39" s="329" t="s">
        <v>67</v>
      </c>
      <c r="Y39" s="350">
        <v>2100</v>
      </c>
      <c r="Z39" s="350">
        <v>2100</v>
      </c>
      <c r="AA39" s="351">
        <v>50</v>
      </c>
      <c r="AB39" s="351">
        <v>50</v>
      </c>
      <c r="AC39" s="350">
        <v>4000</v>
      </c>
      <c r="AD39" s="351">
        <v>100</v>
      </c>
      <c r="AE39" s="351">
        <v>200</v>
      </c>
      <c r="AF39" s="351">
        <v>200</v>
      </c>
      <c r="AG39" s="351">
        <v>0</v>
      </c>
      <c r="AH39" s="351">
        <v>0</v>
      </c>
      <c r="AI39" s="351">
        <v>0</v>
      </c>
      <c r="AJ39" s="351">
        <v>0</v>
      </c>
      <c r="AK39" s="350">
        <v>3000</v>
      </c>
      <c r="AL39" s="351">
        <v>5</v>
      </c>
      <c r="AM39" s="350">
        <v>4200</v>
      </c>
      <c r="AN39" s="350">
        <f t="shared" si="3"/>
        <v>4200</v>
      </c>
      <c r="AO39" s="330">
        <v>46023</v>
      </c>
      <c r="AP39" s="330">
        <v>46387</v>
      </c>
      <c r="AQ39" s="352" t="s">
        <v>261</v>
      </c>
      <c r="AR39" s="8"/>
      <c r="AS39" s="8"/>
      <c r="AT39" s="8"/>
      <c r="AU39" s="8"/>
      <c r="AV39" s="8"/>
      <c r="AW39" s="8"/>
      <c r="AX39" s="8"/>
      <c r="AY39" s="8"/>
      <c r="AZ39" s="8"/>
      <c r="BA39" s="8"/>
      <c r="BB39" s="8"/>
      <c r="BC39" s="8"/>
      <c r="BD39" s="8"/>
      <c r="BE39" s="8"/>
      <c r="BF39" s="8"/>
    </row>
    <row r="40" spans="1:58" s="132" customFormat="1" ht="77.45" customHeight="1">
      <c r="A40" s="327">
        <v>1</v>
      </c>
      <c r="B40" s="355" t="s">
        <v>272</v>
      </c>
      <c r="C40" s="356">
        <v>41</v>
      </c>
      <c r="D40" s="355" t="s">
        <v>273</v>
      </c>
      <c r="E40" s="327">
        <v>4101</v>
      </c>
      <c r="F40" s="355" t="s">
        <v>274</v>
      </c>
      <c r="G40" s="327">
        <v>4101073</v>
      </c>
      <c r="H40" s="327" t="s">
        <v>314</v>
      </c>
      <c r="I40" s="327">
        <v>410107300</v>
      </c>
      <c r="J40" s="327" t="s">
        <v>315</v>
      </c>
      <c r="K40" s="112">
        <v>75</v>
      </c>
      <c r="L40" s="112"/>
      <c r="M40" s="128">
        <f t="shared" si="2"/>
        <v>75</v>
      </c>
      <c r="N40" s="327">
        <v>2024003630077</v>
      </c>
      <c r="O40" s="355" t="s">
        <v>277</v>
      </c>
      <c r="P40" s="46" t="s">
        <v>316</v>
      </c>
      <c r="Q40" s="361">
        <v>76000000</v>
      </c>
      <c r="R40" s="129">
        <f>5500000+1800000+5500000</f>
        <v>12800000</v>
      </c>
      <c r="S40" s="130">
        <v>1800000</v>
      </c>
      <c r="T40" s="130"/>
      <c r="U40" s="935">
        <f>+Q40-R40+S40-T40</f>
        <v>65000000</v>
      </c>
      <c r="V40" s="353" t="s">
        <v>317</v>
      </c>
      <c r="W40" s="329">
        <v>20</v>
      </c>
      <c r="X40" s="329" t="s">
        <v>67</v>
      </c>
      <c r="Y40" s="350">
        <v>2100</v>
      </c>
      <c r="Z40" s="350">
        <v>2100</v>
      </c>
      <c r="AA40" s="351">
        <v>50</v>
      </c>
      <c r="AB40" s="351">
        <v>50</v>
      </c>
      <c r="AC40" s="350">
        <v>4000</v>
      </c>
      <c r="AD40" s="351">
        <v>100</v>
      </c>
      <c r="AE40" s="351">
        <v>200</v>
      </c>
      <c r="AF40" s="351">
        <v>200</v>
      </c>
      <c r="AG40" s="351">
        <v>0</v>
      </c>
      <c r="AH40" s="351">
        <v>0</v>
      </c>
      <c r="AI40" s="351">
        <v>0</v>
      </c>
      <c r="AJ40" s="351">
        <v>0</v>
      </c>
      <c r="AK40" s="350">
        <v>3000</v>
      </c>
      <c r="AL40" s="351">
        <v>5</v>
      </c>
      <c r="AM40" s="350">
        <v>4200</v>
      </c>
      <c r="AN40" s="350">
        <f t="shared" si="3"/>
        <v>4200</v>
      </c>
      <c r="AO40" s="330">
        <v>46023</v>
      </c>
      <c r="AP40" s="330">
        <v>46387</v>
      </c>
      <c r="AQ40" s="352" t="s">
        <v>261</v>
      </c>
      <c r="AR40" s="8"/>
      <c r="AS40" s="8"/>
      <c r="AT40" s="8"/>
      <c r="AU40" s="8"/>
      <c r="AV40" s="8"/>
      <c r="AW40" s="8"/>
      <c r="AX40" s="8"/>
      <c r="AY40" s="8"/>
      <c r="AZ40" s="8"/>
      <c r="BA40" s="8"/>
      <c r="BB40" s="8"/>
      <c r="BC40" s="8"/>
      <c r="BD40" s="8"/>
      <c r="BE40" s="8"/>
      <c r="BF40" s="8"/>
    </row>
    <row r="41" spans="1:58" s="132" customFormat="1" ht="77.45" customHeight="1">
      <c r="A41" s="327">
        <v>1</v>
      </c>
      <c r="B41" s="355" t="s">
        <v>272</v>
      </c>
      <c r="C41" s="356">
        <v>41</v>
      </c>
      <c r="D41" s="355" t="s">
        <v>273</v>
      </c>
      <c r="E41" s="327">
        <v>4103</v>
      </c>
      <c r="F41" s="355" t="s">
        <v>318</v>
      </c>
      <c r="G41" s="327">
        <v>4103052</v>
      </c>
      <c r="H41" s="355" t="s">
        <v>319</v>
      </c>
      <c r="I41" s="327">
        <v>410305200</v>
      </c>
      <c r="J41" s="355" t="s">
        <v>320</v>
      </c>
      <c r="K41" s="358">
        <v>30</v>
      </c>
      <c r="L41" s="358"/>
      <c r="M41" s="358">
        <f t="shared" ref="M41:M51" si="4">+K41+L41</f>
        <v>30</v>
      </c>
      <c r="N41" s="327">
        <v>2024003630103</v>
      </c>
      <c r="O41" s="362" t="s">
        <v>321</v>
      </c>
      <c r="P41" s="347" t="s">
        <v>322</v>
      </c>
      <c r="Q41" s="363">
        <v>12000000</v>
      </c>
      <c r="R41" s="129">
        <f>3700000+3500000</f>
        <v>7200000</v>
      </c>
      <c r="S41" s="130"/>
      <c r="T41" s="130"/>
      <c r="U41" s="935">
        <f>+Q41-R41+S41-T41</f>
        <v>4800000</v>
      </c>
      <c r="V41" s="364" t="s">
        <v>323</v>
      </c>
      <c r="W41" s="329">
        <v>20</v>
      </c>
      <c r="X41" s="329" t="s">
        <v>67</v>
      </c>
      <c r="Y41" s="351">
        <v>0</v>
      </c>
      <c r="Z41" s="351">
        <v>30</v>
      </c>
      <c r="AA41" s="351">
        <v>0</v>
      </c>
      <c r="AB41" s="351">
        <v>0</v>
      </c>
      <c r="AC41" s="351">
        <v>30</v>
      </c>
      <c r="AD41" s="351">
        <v>0</v>
      </c>
      <c r="AE41" s="351">
        <v>0</v>
      </c>
      <c r="AF41" s="351">
        <v>0</v>
      </c>
      <c r="AG41" s="351">
        <v>0</v>
      </c>
      <c r="AH41" s="351">
        <v>0</v>
      </c>
      <c r="AI41" s="351">
        <v>0</v>
      </c>
      <c r="AJ41" s="351">
        <v>0</v>
      </c>
      <c r="AK41" s="351">
        <v>0</v>
      </c>
      <c r="AL41" s="351">
        <v>0</v>
      </c>
      <c r="AM41" s="351">
        <v>0</v>
      </c>
      <c r="AN41" s="351">
        <f>+Y41+Z41</f>
        <v>30</v>
      </c>
      <c r="AO41" s="330">
        <v>46023</v>
      </c>
      <c r="AP41" s="330">
        <v>46387</v>
      </c>
      <c r="AQ41" s="352" t="s">
        <v>261</v>
      </c>
      <c r="AR41" s="8"/>
      <c r="AS41" s="8"/>
      <c r="AT41" s="8"/>
      <c r="AU41" s="8"/>
      <c r="AV41" s="8"/>
      <c r="AW41" s="8"/>
      <c r="AX41" s="8"/>
      <c r="AY41" s="8"/>
      <c r="AZ41" s="8"/>
      <c r="BA41" s="8"/>
      <c r="BB41" s="8"/>
      <c r="BC41" s="8"/>
      <c r="BD41" s="8"/>
      <c r="BE41" s="8"/>
      <c r="BF41" s="8"/>
    </row>
    <row r="42" spans="1:58" s="132" customFormat="1" ht="60">
      <c r="A42" s="327">
        <v>1</v>
      </c>
      <c r="B42" s="355" t="s">
        <v>272</v>
      </c>
      <c r="C42" s="356">
        <v>41</v>
      </c>
      <c r="D42" s="355" t="s">
        <v>273</v>
      </c>
      <c r="E42" s="327">
        <v>4103</v>
      </c>
      <c r="F42" s="355" t="s">
        <v>318</v>
      </c>
      <c r="G42" s="327">
        <v>4103052</v>
      </c>
      <c r="H42" s="355" t="s">
        <v>319</v>
      </c>
      <c r="I42" s="327">
        <v>410305200</v>
      </c>
      <c r="J42" s="355" t="s">
        <v>320</v>
      </c>
      <c r="K42" s="358">
        <v>30</v>
      </c>
      <c r="L42" s="358"/>
      <c r="M42" s="358">
        <f t="shared" si="4"/>
        <v>30</v>
      </c>
      <c r="N42" s="327">
        <v>2024003630103</v>
      </c>
      <c r="O42" s="365" t="s">
        <v>321</v>
      </c>
      <c r="P42" s="347" t="s">
        <v>324</v>
      </c>
      <c r="Q42" s="363">
        <v>16000000</v>
      </c>
      <c r="R42" s="129">
        <f>3000000+3000000</f>
        <v>6000000</v>
      </c>
      <c r="S42" s="130"/>
      <c r="T42" s="130"/>
      <c r="U42" s="935">
        <f>+Q42-R42+S42-T42</f>
        <v>10000000</v>
      </c>
      <c r="V42" s="44" t="s">
        <v>323</v>
      </c>
      <c r="W42" s="329">
        <v>20</v>
      </c>
      <c r="X42" s="329" t="s">
        <v>67</v>
      </c>
      <c r="Y42" s="351">
        <v>0</v>
      </c>
      <c r="Z42" s="351">
        <v>30</v>
      </c>
      <c r="AA42" s="351">
        <v>0</v>
      </c>
      <c r="AB42" s="351">
        <v>0</v>
      </c>
      <c r="AC42" s="351">
        <v>30</v>
      </c>
      <c r="AD42" s="351">
        <v>0</v>
      </c>
      <c r="AE42" s="351">
        <v>0</v>
      </c>
      <c r="AF42" s="351">
        <v>0</v>
      </c>
      <c r="AG42" s="351">
        <v>0</v>
      </c>
      <c r="AH42" s="351">
        <v>0</v>
      </c>
      <c r="AI42" s="351">
        <v>0</v>
      </c>
      <c r="AJ42" s="351">
        <v>0</v>
      </c>
      <c r="AK42" s="351">
        <v>0</v>
      </c>
      <c r="AL42" s="351">
        <v>0</v>
      </c>
      <c r="AM42" s="351">
        <v>0</v>
      </c>
      <c r="AN42" s="351">
        <f>+Y42+Z42</f>
        <v>30</v>
      </c>
      <c r="AO42" s="330">
        <v>46023</v>
      </c>
      <c r="AP42" s="330">
        <v>46387</v>
      </c>
      <c r="AQ42" s="352" t="s">
        <v>261</v>
      </c>
      <c r="AR42" s="8"/>
      <c r="AS42" s="8"/>
      <c r="AT42" s="8"/>
      <c r="AU42" s="8"/>
      <c r="AV42" s="8"/>
      <c r="AW42" s="8"/>
      <c r="AX42" s="8"/>
      <c r="AY42" s="8"/>
      <c r="AZ42" s="8"/>
      <c r="BA42" s="8"/>
      <c r="BB42" s="8"/>
      <c r="BC42" s="8"/>
      <c r="BD42" s="8"/>
      <c r="BE42" s="8"/>
      <c r="BF42" s="8"/>
    </row>
    <row r="43" spans="1:58" s="132" customFormat="1" ht="60">
      <c r="A43" s="327">
        <v>1</v>
      </c>
      <c r="B43" s="355" t="s">
        <v>272</v>
      </c>
      <c r="C43" s="356">
        <v>41</v>
      </c>
      <c r="D43" s="355" t="s">
        <v>273</v>
      </c>
      <c r="E43" s="327">
        <v>4103</v>
      </c>
      <c r="F43" s="355" t="s">
        <v>318</v>
      </c>
      <c r="G43" s="327">
        <v>4103052</v>
      </c>
      <c r="H43" s="355" t="s">
        <v>319</v>
      </c>
      <c r="I43" s="327">
        <v>410305200</v>
      </c>
      <c r="J43" s="355" t="s">
        <v>320</v>
      </c>
      <c r="K43" s="358">
        <v>30</v>
      </c>
      <c r="L43" s="358"/>
      <c r="M43" s="358">
        <f t="shared" si="4"/>
        <v>30</v>
      </c>
      <c r="N43" s="327">
        <v>2024003630103</v>
      </c>
      <c r="O43" s="365" t="s">
        <v>321</v>
      </c>
      <c r="P43" s="347" t="s">
        <v>325</v>
      </c>
      <c r="Q43" s="363">
        <v>10000000</v>
      </c>
      <c r="R43" s="129"/>
      <c r="S43" s="130"/>
      <c r="T43" s="130"/>
      <c r="U43" s="935">
        <f>+Q43-R43+S43-T43</f>
        <v>10000000</v>
      </c>
      <c r="V43" s="44" t="s">
        <v>323</v>
      </c>
      <c r="W43" s="329">
        <v>20</v>
      </c>
      <c r="X43" s="329" t="s">
        <v>67</v>
      </c>
      <c r="Y43" s="351">
        <v>0</v>
      </c>
      <c r="Z43" s="351">
        <v>30</v>
      </c>
      <c r="AA43" s="351">
        <v>0</v>
      </c>
      <c r="AB43" s="351">
        <v>0</v>
      </c>
      <c r="AC43" s="351">
        <v>30</v>
      </c>
      <c r="AD43" s="351">
        <v>0</v>
      </c>
      <c r="AE43" s="351">
        <v>0</v>
      </c>
      <c r="AF43" s="351">
        <v>0</v>
      </c>
      <c r="AG43" s="351">
        <v>0</v>
      </c>
      <c r="AH43" s="351">
        <v>0</v>
      </c>
      <c r="AI43" s="351">
        <v>0</v>
      </c>
      <c r="AJ43" s="351">
        <v>0</v>
      </c>
      <c r="AK43" s="351">
        <v>0</v>
      </c>
      <c r="AL43" s="351">
        <v>0</v>
      </c>
      <c r="AM43" s="351">
        <v>0</v>
      </c>
      <c r="AN43" s="351">
        <f>+Y43+Z43</f>
        <v>30</v>
      </c>
      <c r="AO43" s="330">
        <v>46023</v>
      </c>
      <c r="AP43" s="330">
        <v>46387</v>
      </c>
      <c r="AQ43" s="352" t="s">
        <v>261</v>
      </c>
      <c r="AR43" s="8"/>
      <c r="AS43" s="8"/>
      <c r="AT43" s="8"/>
      <c r="AU43" s="8"/>
      <c r="AV43" s="8"/>
      <c r="AW43" s="8"/>
      <c r="AX43" s="8"/>
      <c r="AY43" s="8"/>
      <c r="AZ43" s="8"/>
      <c r="BA43" s="8"/>
      <c r="BB43" s="8"/>
      <c r="BC43" s="8"/>
      <c r="BD43" s="8"/>
      <c r="BE43" s="8"/>
      <c r="BF43" s="8"/>
    </row>
    <row r="44" spans="1:58" s="132" customFormat="1" ht="96">
      <c r="A44" s="366">
        <v>2</v>
      </c>
      <c r="B44" s="367" t="s">
        <v>326</v>
      </c>
      <c r="C44" s="368">
        <v>45</v>
      </c>
      <c r="D44" s="355" t="s">
        <v>254</v>
      </c>
      <c r="E44" s="327">
        <v>4503</v>
      </c>
      <c r="F44" s="355" t="s">
        <v>327</v>
      </c>
      <c r="G44" s="327">
        <v>4503002</v>
      </c>
      <c r="H44" s="355" t="s">
        <v>328</v>
      </c>
      <c r="I44" s="327">
        <v>450300200</v>
      </c>
      <c r="J44" s="355" t="s">
        <v>329</v>
      </c>
      <c r="K44" s="358">
        <v>5000</v>
      </c>
      <c r="L44" s="358"/>
      <c r="M44" s="358">
        <f t="shared" si="4"/>
        <v>5000</v>
      </c>
      <c r="N44" s="327">
        <v>2024003630089</v>
      </c>
      <c r="O44" s="362" t="s">
        <v>330</v>
      </c>
      <c r="P44" s="369" t="s">
        <v>331</v>
      </c>
      <c r="Q44" s="363">
        <v>77000000</v>
      </c>
      <c r="R44" s="129"/>
      <c r="S44" s="130"/>
      <c r="T44" s="130"/>
      <c r="U44" s="935">
        <f>+Q44-R44+S44-T44</f>
        <v>77000000</v>
      </c>
      <c r="V44" s="360" t="s">
        <v>332</v>
      </c>
      <c r="W44" s="329">
        <v>20</v>
      </c>
      <c r="X44" s="329" t="s">
        <v>67</v>
      </c>
      <c r="Y44" s="351">
        <v>205.31299999999999</v>
      </c>
      <c r="Z44" s="370">
        <v>190.92099999999999</v>
      </c>
      <c r="AA44" s="371">
        <v>69341</v>
      </c>
      <c r="AB44" s="371">
        <v>25297</v>
      </c>
      <c r="AC44" s="371">
        <v>219930</v>
      </c>
      <c r="AD44" s="371">
        <v>81666</v>
      </c>
      <c r="AE44" s="351">
        <v>2.2730000000000001</v>
      </c>
      <c r="AF44" s="351">
        <v>4.7629999999999999</v>
      </c>
      <c r="AG44" s="351">
        <v>18</v>
      </c>
      <c r="AH44" s="351">
        <v>4</v>
      </c>
      <c r="AI44" s="351">
        <v>0</v>
      </c>
      <c r="AJ44" s="351">
        <v>0</v>
      </c>
      <c r="AK44" s="351">
        <v>35.661999999999999</v>
      </c>
      <c r="AL44" s="351">
        <v>19.988</v>
      </c>
      <c r="AM44" s="370">
        <v>37.74</v>
      </c>
      <c r="AN44" s="370">
        <f>+Y44+Z44</f>
        <v>396.23399999999998</v>
      </c>
      <c r="AO44" s="372">
        <v>45658</v>
      </c>
      <c r="AP44" s="372">
        <v>46022</v>
      </c>
      <c r="AQ44" s="352" t="s">
        <v>261</v>
      </c>
      <c r="AR44" s="8"/>
      <c r="AS44" s="8"/>
      <c r="AT44" s="8"/>
      <c r="AU44" s="8"/>
      <c r="AV44" s="8"/>
      <c r="AW44" s="8"/>
      <c r="AX44" s="8"/>
      <c r="AY44" s="8"/>
      <c r="AZ44" s="8"/>
      <c r="BA44" s="8"/>
      <c r="BB44" s="8"/>
      <c r="BC44" s="8"/>
      <c r="BD44" s="8"/>
      <c r="BE44" s="8"/>
      <c r="BF44" s="8"/>
    </row>
    <row r="45" spans="1:58" s="132" customFormat="1" ht="96">
      <c r="A45" s="366">
        <v>2</v>
      </c>
      <c r="B45" s="367" t="s">
        <v>326</v>
      </c>
      <c r="C45" s="368">
        <v>45</v>
      </c>
      <c r="D45" s="355" t="s">
        <v>254</v>
      </c>
      <c r="E45" s="327">
        <v>4503</v>
      </c>
      <c r="F45" s="355" t="s">
        <v>327</v>
      </c>
      <c r="G45" s="327">
        <v>4503002</v>
      </c>
      <c r="H45" s="355" t="s">
        <v>328</v>
      </c>
      <c r="I45" s="327">
        <v>450300200</v>
      </c>
      <c r="J45" s="355" t="s">
        <v>329</v>
      </c>
      <c r="K45" s="358">
        <v>5000</v>
      </c>
      <c r="L45" s="358"/>
      <c r="M45" s="358">
        <f t="shared" si="4"/>
        <v>5000</v>
      </c>
      <c r="N45" s="327">
        <v>2024003630089</v>
      </c>
      <c r="O45" s="362" t="s">
        <v>330</v>
      </c>
      <c r="P45" s="369" t="s">
        <v>333</v>
      </c>
      <c r="Q45" s="363">
        <v>5000000</v>
      </c>
      <c r="R45" s="129"/>
      <c r="S45" s="130"/>
      <c r="T45" s="130"/>
      <c r="U45" s="935">
        <f>+Q45-R45+S45-T45</f>
        <v>5000000</v>
      </c>
      <c r="V45" s="360" t="s">
        <v>334</v>
      </c>
      <c r="W45" s="329">
        <v>20</v>
      </c>
      <c r="X45" s="329" t="s">
        <v>67</v>
      </c>
      <c r="Y45" s="351">
        <v>205.31299999999999</v>
      </c>
      <c r="Z45" s="370">
        <v>190.92099999999999</v>
      </c>
      <c r="AA45" s="371">
        <v>69341</v>
      </c>
      <c r="AB45" s="371">
        <v>25297</v>
      </c>
      <c r="AC45" s="371">
        <v>219930</v>
      </c>
      <c r="AD45" s="371">
        <v>81666</v>
      </c>
      <c r="AE45" s="351">
        <v>2.2730000000000001</v>
      </c>
      <c r="AF45" s="351">
        <v>4.7629999999999999</v>
      </c>
      <c r="AG45" s="351">
        <v>18</v>
      </c>
      <c r="AH45" s="351">
        <v>4</v>
      </c>
      <c r="AI45" s="351">
        <v>0</v>
      </c>
      <c r="AJ45" s="351">
        <v>0</v>
      </c>
      <c r="AK45" s="351">
        <v>35.661999999999999</v>
      </c>
      <c r="AL45" s="351">
        <v>19.988</v>
      </c>
      <c r="AM45" s="370">
        <v>37.74</v>
      </c>
      <c r="AN45" s="370">
        <f t="shared" ref="AN45:AN64" si="5">+Y45+Z45</f>
        <v>396.23399999999998</v>
      </c>
      <c r="AO45" s="372">
        <v>45658</v>
      </c>
      <c r="AP45" s="372">
        <v>46022</v>
      </c>
      <c r="AQ45" s="352" t="s">
        <v>261</v>
      </c>
      <c r="AR45" s="8"/>
      <c r="AS45" s="8"/>
      <c r="AT45" s="8"/>
      <c r="AU45" s="8"/>
      <c r="AV45" s="8"/>
      <c r="AW45" s="8"/>
      <c r="AX45" s="8"/>
      <c r="AY45" s="8"/>
      <c r="AZ45" s="8"/>
      <c r="BA45" s="8"/>
      <c r="BB45" s="8"/>
      <c r="BC45" s="8"/>
      <c r="BD45" s="8"/>
      <c r="BE45" s="8"/>
      <c r="BF45" s="8"/>
    </row>
    <row r="46" spans="1:58" s="132" customFormat="1" ht="96">
      <c r="A46" s="366">
        <v>2</v>
      </c>
      <c r="B46" s="367" t="s">
        <v>326</v>
      </c>
      <c r="C46" s="368">
        <v>45</v>
      </c>
      <c r="D46" s="355" t="s">
        <v>254</v>
      </c>
      <c r="E46" s="327">
        <v>4503</v>
      </c>
      <c r="F46" s="355" t="s">
        <v>327</v>
      </c>
      <c r="G46" s="327">
        <v>4503002</v>
      </c>
      <c r="H46" s="355" t="s">
        <v>328</v>
      </c>
      <c r="I46" s="327">
        <v>450300200</v>
      </c>
      <c r="J46" s="355" t="s">
        <v>329</v>
      </c>
      <c r="K46" s="358">
        <v>5000</v>
      </c>
      <c r="L46" s="358"/>
      <c r="M46" s="358">
        <f t="shared" si="4"/>
        <v>5000</v>
      </c>
      <c r="N46" s="327">
        <v>2024003630089</v>
      </c>
      <c r="O46" s="362" t="s">
        <v>330</v>
      </c>
      <c r="P46" s="369" t="s">
        <v>335</v>
      </c>
      <c r="Q46" s="363">
        <v>3000000</v>
      </c>
      <c r="R46" s="129"/>
      <c r="S46" s="130"/>
      <c r="T46" s="130"/>
      <c r="U46" s="935">
        <f>+Q46-R46+S46-T46</f>
        <v>3000000</v>
      </c>
      <c r="V46" s="360" t="s">
        <v>336</v>
      </c>
      <c r="W46" s="329">
        <v>20</v>
      </c>
      <c r="X46" s="329" t="s">
        <v>67</v>
      </c>
      <c r="Y46" s="351">
        <v>205.31299999999999</v>
      </c>
      <c r="Z46" s="370">
        <v>190.92099999999999</v>
      </c>
      <c r="AA46" s="371">
        <v>69341</v>
      </c>
      <c r="AB46" s="371">
        <v>25297</v>
      </c>
      <c r="AC46" s="371">
        <v>219930</v>
      </c>
      <c r="AD46" s="371">
        <v>81666</v>
      </c>
      <c r="AE46" s="351">
        <v>2.2730000000000001</v>
      </c>
      <c r="AF46" s="351">
        <v>4.7629999999999999</v>
      </c>
      <c r="AG46" s="351">
        <v>18</v>
      </c>
      <c r="AH46" s="351">
        <v>4</v>
      </c>
      <c r="AI46" s="351">
        <v>0</v>
      </c>
      <c r="AJ46" s="351">
        <v>0</v>
      </c>
      <c r="AK46" s="351">
        <v>35.661999999999999</v>
      </c>
      <c r="AL46" s="351">
        <v>19.988</v>
      </c>
      <c r="AM46" s="370">
        <v>37.74</v>
      </c>
      <c r="AN46" s="370">
        <f t="shared" si="5"/>
        <v>396.23399999999998</v>
      </c>
      <c r="AO46" s="372">
        <v>45658</v>
      </c>
      <c r="AP46" s="372">
        <v>46022</v>
      </c>
      <c r="AQ46" s="352" t="s">
        <v>261</v>
      </c>
      <c r="AR46" s="8"/>
      <c r="AS46" s="8"/>
      <c r="AT46" s="8"/>
      <c r="AU46" s="8"/>
      <c r="AV46" s="8"/>
      <c r="AW46" s="8"/>
      <c r="AX46" s="8"/>
      <c r="AY46" s="8"/>
      <c r="AZ46" s="8"/>
      <c r="BA46" s="8"/>
      <c r="BB46" s="8"/>
      <c r="BC46" s="8"/>
      <c r="BD46" s="8"/>
      <c r="BE46" s="8"/>
      <c r="BF46" s="8"/>
    </row>
    <row r="47" spans="1:58" s="132" customFormat="1" ht="173.1" customHeight="1">
      <c r="A47" s="366">
        <v>2</v>
      </c>
      <c r="B47" s="367" t="s">
        <v>326</v>
      </c>
      <c r="C47" s="368">
        <v>45</v>
      </c>
      <c r="D47" s="355" t="s">
        <v>254</v>
      </c>
      <c r="E47" s="327">
        <v>4503</v>
      </c>
      <c r="F47" s="355" t="s">
        <v>327</v>
      </c>
      <c r="G47" s="327">
        <v>4503003</v>
      </c>
      <c r="H47" s="355" t="s">
        <v>162</v>
      </c>
      <c r="I47" s="327">
        <v>450300300</v>
      </c>
      <c r="J47" s="355" t="s">
        <v>337</v>
      </c>
      <c r="K47" s="358">
        <v>12</v>
      </c>
      <c r="L47" s="358"/>
      <c r="M47" s="358">
        <f t="shared" si="4"/>
        <v>12</v>
      </c>
      <c r="N47" s="327">
        <v>2024003630089</v>
      </c>
      <c r="O47" s="362" t="s">
        <v>330</v>
      </c>
      <c r="P47" s="369" t="s">
        <v>338</v>
      </c>
      <c r="Q47" s="363">
        <v>70000000</v>
      </c>
      <c r="R47" s="129"/>
      <c r="S47" s="130"/>
      <c r="T47" s="130"/>
      <c r="U47" s="935">
        <f>+Q47-R47+S47-T47</f>
        <v>70000000</v>
      </c>
      <c r="V47" s="360" t="s">
        <v>339</v>
      </c>
      <c r="W47" s="329">
        <v>20</v>
      </c>
      <c r="X47" s="329" t="s">
        <v>67</v>
      </c>
      <c r="Y47" s="351">
        <v>205.31299999999999</v>
      </c>
      <c r="Z47" s="370">
        <v>190.92099999999999</v>
      </c>
      <c r="AA47" s="371">
        <v>69341</v>
      </c>
      <c r="AB47" s="371">
        <v>25297</v>
      </c>
      <c r="AC47" s="371">
        <v>219930</v>
      </c>
      <c r="AD47" s="371">
        <v>81666</v>
      </c>
      <c r="AE47" s="351">
        <v>2.2730000000000001</v>
      </c>
      <c r="AF47" s="351">
        <v>4.7629999999999999</v>
      </c>
      <c r="AG47" s="351">
        <v>18</v>
      </c>
      <c r="AH47" s="351">
        <v>4</v>
      </c>
      <c r="AI47" s="351">
        <v>0</v>
      </c>
      <c r="AJ47" s="351">
        <v>0</v>
      </c>
      <c r="AK47" s="351">
        <v>35.661999999999999</v>
      </c>
      <c r="AL47" s="351">
        <v>19.988</v>
      </c>
      <c r="AM47" s="370">
        <v>37.74</v>
      </c>
      <c r="AN47" s="370">
        <f t="shared" si="5"/>
        <v>396.23399999999998</v>
      </c>
      <c r="AO47" s="372">
        <v>45658</v>
      </c>
      <c r="AP47" s="372">
        <v>46022</v>
      </c>
      <c r="AQ47" s="352" t="s">
        <v>261</v>
      </c>
      <c r="AR47" s="8"/>
      <c r="AS47" s="8"/>
      <c r="AT47" s="8"/>
      <c r="AU47" s="8"/>
      <c r="AV47" s="8"/>
      <c r="AW47" s="8"/>
      <c r="AX47" s="8"/>
      <c r="AY47" s="8"/>
      <c r="AZ47" s="8"/>
      <c r="BA47" s="8"/>
      <c r="BB47" s="8"/>
      <c r="BC47" s="8"/>
      <c r="BD47" s="8"/>
      <c r="BE47" s="8"/>
      <c r="BF47" s="8"/>
    </row>
    <row r="48" spans="1:58" s="132" customFormat="1" ht="96">
      <c r="A48" s="366">
        <v>2</v>
      </c>
      <c r="B48" s="367" t="s">
        <v>326</v>
      </c>
      <c r="C48" s="368">
        <v>45</v>
      </c>
      <c r="D48" s="355" t="s">
        <v>254</v>
      </c>
      <c r="E48" s="327">
        <v>4503</v>
      </c>
      <c r="F48" s="355" t="s">
        <v>327</v>
      </c>
      <c r="G48" s="355">
        <v>4503003</v>
      </c>
      <c r="H48" s="355" t="s">
        <v>162</v>
      </c>
      <c r="I48" s="327">
        <v>450300300</v>
      </c>
      <c r="J48" s="355" t="s">
        <v>337</v>
      </c>
      <c r="K48" s="358">
        <v>12</v>
      </c>
      <c r="L48" s="358"/>
      <c r="M48" s="358">
        <f t="shared" si="4"/>
        <v>12</v>
      </c>
      <c r="N48" s="327">
        <v>2024003630089</v>
      </c>
      <c r="O48" s="362" t="s">
        <v>330</v>
      </c>
      <c r="P48" s="369" t="s">
        <v>340</v>
      </c>
      <c r="Q48" s="363">
        <v>180000000</v>
      </c>
      <c r="R48" s="129">
        <f>14800000+14800000+16000000+14800000+14800000+9400000</f>
        <v>84600000</v>
      </c>
      <c r="S48" s="130"/>
      <c r="T48" s="130"/>
      <c r="U48" s="935">
        <f>+Q48-R48+S48-T48</f>
        <v>95400000</v>
      </c>
      <c r="V48" s="360" t="s">
        <v>339</v>
      </c>
      <c r="W48" s="329">
        <v>20</v>
      </c>
      <c r="X48" s="329" t="s">
        <v>67</v>
      </c>
      <c r="Y48" s="351">
        <v>205.31299999999999</v>
      </c>
      <c r="Z48" s="370">
        <v>190.92099999999999</v>
      </c>
      <c r="AA48" s="371">
        <v>69341</v>
      </c>
      <c r="AB48" s="371">
        <v>25297</v>
      </c>
      <c r="AC48" s="371">
        <v>219930</v>
      </c>
      <c r="AD48" s="371">
        <v>81666</v>
      </c>
      <c r="AE48" s="351">
        <v>2.2730000000000001</v>
      </c>
      <c r="AF48" s="351">
        <v>4.7629999999999999</v>
      </c>
      <c r="AG48" s="351">
        <v>18</v>
      </c>
      <c r="AH48" s="351">
        <v>4</v>
      </c>
      <c r="AI48" s="351">
        <v>0</v>
      </c>
      <c r="AJ48" s="351">
        <v>0</v>
      </c>
      <c r="AK48" s="351">
        <v>35.661999999999999</v>
      </c>
      <c r="AL48" s="351">
        <v>19.988</v>
      </c>
      <c r="AM48" s="370">
        <v>37.74</v>
      </c>
      <c r="AN48" s="370">
        <f t="shared" si="5"/>
        <v>396.23399999999998</v>
      </c>
      <c r="AO48" s="372">
        <v>45658</v>
      </c>
      <c r="AP48" s="372">
        <v>46022</v>
      </c>
      <c r="AQ48" s="352" t="s">
        <v>261</v>
      </c>
      <c r="AR48" s="8"/>
      <c r="AS48" s="8"/>
      <c r="AT48" s="8"/>
      <c r="AU48" s="8"/>
      <c r="AV48" s="8"/>
      <c r="AW48" s="8"/>
      <c r="AX48" s="8"/>
      <c r="AY48" s="8"/>
      <c r="AZ48" s="8"/>
      <c r="BA48" s="8"/>
      <c r="BB48" s="8"/>
      <c r="BC48" s="8"/>
      <c r="BD48" s="8"/>
      <c r="BE48" s="8"/>
      <c r="BF48" s="8"/>
    </row>
    <row r="49" spans="1:58" s="132" customFormat="1" ht="107.25">
      <c r="A49" s="366">
        <v>2</v>
      </c>
      <c r="B49" s="367" t="s">
        <v>326</v>
      </c>
      <c r="C49" s="368">
        <v>45</v>
      </c>
      <c r="D49" s="355" t="s">
        <v>254</v>
      </c>
      <c r="E49" s="327">
        <v>4503</v>
      </c>
      <c r="F49" s="355" t="s">
        <v>327</v>
      </c>
      <c r="G49" s="355">
        <v>4503016</v>
      </c>
      <c r="H49" s="357" t="s">
        <v>341</v>
      </c>
      <c r="I49" s="327">
        <v>450301600</v>
      </c>
      <c r="J49" s="327" t="s">
        <v>342</v>
      </c>
      <c r="K49" s="358">
        <v>7</v>
      </c>
      <c r="L49" s="358"/>
      <c r="M49" s="358">
        <f t="shared" si="4"/>
        <v>7</v>
      </c>
      <c r="N49" s="327">
        <v>2024003630089</v>
      </c>
      <c r="O49" s="362" t="s">
        <v>330</v>
      </c>
      <c r="P49" s="369" t="s">
        <v>343</v>
      </c>
      <c r="Q49" s="363">
        <v>80000000</v>
      </c>
      <c r="R49" s="129"/>
      <c r="S49" s="130"/>
      <c r="T49" s="130"/>
      <c r="U49" s="935">
        <f>+Q49-R49+S49-T49</f>
        <v>80000000</v>
      </c>
      <c r="V49" s="360" t="s">
        <v>344</v>
      </c>
      <c r="W49" s="329">
        <v>20</v>
      </c>
      <c r="X49" s="329" t="s">
        <v>67</v>
      </c>
      <c r="Y49" s="351">
        <v>205.31299999999999</v>
      </c>
      <c r="Z49" s="370">
        <v>190.92099999999999</v>
      </c>
      <c r="AA49" s="371">
        <v>69341</v>
      </c>
      <c r="AB49" s="371">
        <v>25297</v>
      </c>
      <c r="AC49" s="371">
        <v>219930</v>
      </c>
      <c r="AD49" s="371">
        <v>81666</v>
      </c>
      <c r="AE49" s="351">
        <v>2.2730000000000001</v>
      </c>
      <c r="AF49" s="351">
        <v>4.7629999999999999</v>
      </c>
      <c r="AG49" s="351">
        <v>18</v>
      </c>
      <c r="AH49" s="351">
        <v>4</v>
      </c>
      <c r="AI49" s="351">
        <v>0</v>
      </c>
      <c r="AJ49" s="351">
        <v>0</v>
      </c>
      <c r="AK49" s="351">
        <v>35.661999999999999</v>
      </c>
      <c r="AL49" s="351">
        <v>19.988</v>
      </c>
      <c r="AM49" s="370">
        <v>37.74</v>
      </c>
      <c r="AN49" s="370">
        <f t="shared" si="5"/>
        <v>396.23399999999998</v>
      </c>
      <c r="AO49" s="372">
        <v>45658</v>
      </c>
      <c r="AP49" s="372">
        <v>46022</v>
      </c>
      <c r="AQ49" s="352" t="s">
        <v>261</v>
      </c>
      <c r="AR49" s="8"/>
      <c r="AS49" s="8"/>
      <c r="AT49" s="8"/>
      <c r="AU49" s="8"/>
      <c r="AV49" s="8"/>
      <c r="AW49" s="8"/>
      <c r="AX49" s="8"/>
      <c r="AY49" s="8"/>
      <c r="AZ49" s="8"/>
      <c r="BA49" s="8"/>
      <c r="BB49" s="8"/>
      <c r="BC49" s="8"/>
      <c r="BD49" s="8"/>
      <c r="BE49" s="8"/>
      <c r="BF49" s="8"/>
    </row>
    <row r="50" spans="1:58" s="132" customFormat="1" ht="96">
      <c r="A50" s="366">
        <v>2</v>
      </c>
      <c r="B50" s="367" t="s">
        <v>326</v>
      </c>
      <c r="C50" s="368">
        <v>45</v>
      </c>
      <c r="D50" s="355" t="s">
        <v>254</v>
      </c>
      <c r="E50" s="327">
        <v>4503</v>
      </c>
      <c r="F50" s="355" t="s">
        <v>327</v>
      </c>
      <c r="G50" s="355">
        <v>4503016</v>
      </c>
      <c r="H50" s="357" t="s">
        <v>341</v>
      </c>
      <c r="I50" s="327">
        <v>450301600</v>
      </c>
      <c r="J50" s="327" t="s">
        <v>342</v>
      </c>
      <c r="K50" s="358">
        <v>7</v>
      </c>
      <c r="L50" s="358"/>
      <c r="M50" s="358">
        <f t="shared" si="4"/>
        <v>7</v>
      </c>
      <c r="N50" s="327">
        <v>2024003630089</v>
      </c>
      <c r="O50" s="362" t="s">
        <v>330</v>
      </c>
      <c r="P50" s="369" t="s">
        <v>345</v>
      </c>
      <c r="Q50" s="363">
        <v>80000000</v>
      </c>
      <c r="R50" s="129"/>
      <c r="S50" s="130"/>
      <c r="T50" s="130"/>
      <c r="U50" s="935">
        <f>+Q50-R50+S50-T50</f>
        <v>80000000</v>
      </c>
      <c r="V50" s="360" t="s">
        <v>346</v>
      </c>
      <c r="W50" s="329">
        <v>20</v>
      </c>
      <c r="X50" s="329" t="s">
        <v>67</v>
      </c>
      <c r="Y50" s="351">
        <v>205.31299999999999</v>
      </c>
      <c r="Z50" s="370">
        <v>190.92099999999999</v>
      </c>
      <c r="AA50" s="371">
        <v>69341</v>
      </c>
      <c r="AB50" s="371">
        <v>25297</v>
      </c>
      <c r="AC50" s="371">
        <v>219930</v>
      </c>
      <c r="AD50" s="371">
        <v>81666</v>
      </c>
      <c r="AE50" s="351">
        <v>2.2730000000000001</v>
      </c>
      <c r="AF50" s="351">
        <v>4.7629999999999999</v>
      </c>
      <c r="AG50" s="351">
        <v>18</v>
      </c>
      <c r="AH50" s="351">
        <v>4</v>
      </c>
      <c r="AI50" s="351">
        <v>0</v>
      </c>
      <c r="AJ50" s="351">
        <v>0</v>
      </c>
      <c r="AK50" s="351">
        <v>35.661999999999999</v>
      </c>
      <c r="AL50" s="351">
        <v>19.988</v>
      </c>
      <c r="AM50" s="370">
        <v>37.74</v>
      </c>
      <c r="AN50" s="370">
        <f t="shared" si="5"/>
        <v>396.23399999999998</v>
      </c>
      <c r="AO50" s="372">
        <v>45658</v>
      </c>
      <c r="AP50" s="372">
        <v>46022</v>
      </c>
      <c r="AQ50" s="352" t="s">
        <v>261</v>
      </c>
      <c r="AR50" s="8"/>
      <c r="AS50" s="8"/>
      <c r="AT50" s="8"/>
      <c r="AU50" s="8"/>
      <c r="AV50" s="8"/>
      <c r="AW50" s="8"/>
      <c r="AX50" s="8"/>
      <c r="AY50" s="8"/>
      <c r="AZ50" s="8"/>
      <c r="BA50" s="8"/>
      <c r="BB50" s="8"/>
      <c r="BC50" s="8"/>
      <c r="BD50" s="8"/>
      <c r="BE50" s="8"/>
      <c r="BF50" s="8"/>
    </row>
    <row r="51" spans="1:58" s="132" customFormat="1" ht="96">
      <c r="A51" s="366">
        <v>2</v>
      </c>
      <c r="B51" s="367" t="s">
        <v>326</v>
      </c>
      <c r="C51" s="368">
        <v>45</v>
      </c>
      <c r="D51" s="355" t="s">
        <v>254</v>
      </c>
      <c r="E51" s="327">
        <v>4503</v>
      </c>
      <c r="F51" s="355" t="s">
        <v>327</v>
      </c>
      <c r="G51" s="355">
        <v>4503016</v>
      </c>
      <c r="H51" s="357" t="s">
        <v>341</v>
      </c>
      <c r="I51" s="327">
        <v>450301600</v>
      </c>
      <c r="J51" s="327" t="s">
        <v>342</v>
      </c>
      <c r="K51" s="358">
        <v>7</v>
      </c>
      <c r="L51" s="358"/>
      <c r="M51" s="358">
        <f t="shared" si="4"/>
        <v>7</v>
      </c>
      <c r="N51" s="327">
        <v>2024003630089</v>
      </c>
      <c r="O51" s="362" t="s">
        <v>330</v>
      </c>
      <c r="P51" s="369" t="s">
        <v>347</v>
      </c>
      <c r="Q51" s="363">
        <v>70000000</v>
      </c>
      <c r="R51" s="129"/>
      <c r="S51" s="130"/>
      <c r="T51" s="130"/>
      <c r="U51" s="935">
        <f>+Q51-R51+S51-T51</f>
        <v>70000000</v>
      </c>
      <c r="V51" s="360" t="s">
        <v>348</v>
      </c>
      <c r="W51" s="329">
        <v>20</v>
      </c>
      <c r="X51" s="329" t="s">
        <v>67</v>
      </c>
      <c r="Y51" s="351">
        <v>205.31299999999999</v>
      </c>
      <c r="Z51" s="370">
        <v>190.92099999999999</v>
      </c>
      <c r="AA51" s="371">
        <v>69341</v>
      </c>
      <c r="AB51" s="371">
        <v>25297</v>
      </c>
      <c r="AC51" s="371">
        <v>219930</v>
      </c>
      <c r="AD51" s="371">
        <v>81666</v>
      </c>
      <c r="AE51" s="351">
        <v>2.2730000000000001</v>
      </c>
      <c r="AF51" s="351">
        <v>4.7629999999999999</v>
      </c>
      <c r="AG51" s="351">
        <v>18</v>
      </c>
      <c r="AH51" s="351">
        <v>4</v>
      </c>
      <c r="AI51" s="351">
        <v>0</v>
      </c>
      <c r="AJ51" s="351">
        <v>0</v>
      </c>
      <c r="AK51" s="351">
        <v>35.661999999999999</v>
      </c>
      <c r="AL51" s="351">
        <v>19.988</v>
      </c>
      <c r="AM51" s="370">
        <v>37.74</v>
      </c>
      <c r="AN51" s="370">
        <f t="shared" si="5"/>
        <v>396.23399999999998</v>
      </c>
      <c r="AO51" s="372">
        <v>45658</v>
      </c>
      <c r="AP51" s="372">
        <v>46022</v>
      </c>
      <c r="AQ51" s="352" t="s">
        <v>261</v>
      </c>
      <c r="AR51" s="8"/>
      <c r="AS51" s="8"/>
      <c r="AT51" s="8"/>
      <c r="AU51" s="8"/>
      <c r="AV51" s="8"/>
      <c r="AW51" s="8"/>
      <c r="AX51" s="8"/>
      <c r="AY51" s="8"/>
      <c r="AZ51" s="8"/>
      <c r="BA51" s="8"/>
      <c r="BB51" s="8"/>
      <c r="BC51" s="8"/>
      <c r="BD51" s="8"/>
      <c r="BE51" s="8"/>
      <c r="BF51" s="8"/>
    </row>
    <row r="52" spans="1:58" s="132" customFormat="1" ht="96">
      <c r="A52" s="366">
        <v>2</v>
      </c>
      <c r="B52" s="367" t="s">
        <v>326</v>
      </c>
      <c r="C52" s="368">
        <v>45</v>
      </c>
      <c r="D52" s="355" t="s">
        <v>254</v>
      </c>
      <c r="E52" s="327">
        <v>4503</v>
      </c>
      <c r="F52" s="355" t="s">
        <v>327</v>
      </c>
      <c r="G52" s="355">
        <v>4503016</v>
      </c>
      <c r="H52" s="357" t="s">
        <v>341</v>
      </c>
      <c r="I52" s="327">
        <v>450301600</v>
      </c>
      <c r="J52" s="327" t="s">
        <v>342</v>
      </c>
      <c r="K52" s="358">
        <v>7</v>
      </c>
      <c r="L52" s="358"/>
      <c r="M52" s="358">
        <f t="shared" ref="M52:M59" si="6">+K52+L52</f>
        <v>7</v>
      </c>
      <c r="N52" s="327">
        <v>2024003630089</v>
      </c>
      <c r="O52" s="362" t="s">
        <v>330</v>
      </c>
      <c r="P52" s="369" t="s">
        <v>349</v>
      </c>
      <c r="Q52" s="363">
        <v>8356057.1200000001</v>
      </c>
      <c r="R52" s="129"/>
      <c r="S52" s="130"/>
      <c r="T52" s="130"/>
      <c r="U52" s="935">
        <f>+Q52-R52+S52-T52</f>
        <v>8356057.1200000001</v>
      </c>
      <c r="V52" s="360" t="s">
        <v>350</v>
      </c>
      <c r="W52" s="329">
        <v>20</v>
      </c>
      <c r="X52" s="329" t="s">
        <v>67</v>
      </c>
      <c r="Y52" s="351">
        <v>205.31299999999999</v>
      </c>
      <c r="Z52" s="370">
        <v>190.92099999999999</v>
      </c>
      <c r="AA52" s="371">
        <v>69341</v>
      </c>
      <c r="AB52" s="371">
        <v>25297</v>
      </c>
      <c r="AC52" s="371">
        <v>219930</v>
      </c>
      <c r="AD52" s="371">
        <v>81666</v>
      </c>
      <c r="AE52" s="351">
        <v>2.2730000000000001</v>
      </c>
      <c r="AF52" s="351">
        <v>4.7629999999999999</v>
      </c>
      <c r="AG52" s="351">
        <v>18</v>
      </c>
      <c r="AH52" s="351">
        <v>4</v>
      </c>
      <c r="AI52" s="351">
        <v>0</v>
      </c>
      <c r="AJ52" s="351">
        <v>0</v>
      </c>
      <c r="AK52" s="351">
        <v>35.661999999999999</v>
      </c>
      <c r="AL52" s="351">
        <v>19.988</v>
      </c>
      <c r="AM52" s="370">
        <v>37.74</v>
      </c>
      <c r="AN52" s="370">
        <f t="shared" si="5"/>
        <v>396.23399999999998</v>
      </c>
      <c r="AO52" s="372">
        <v>45658</v>
      </c>
      <c r="AP52" s="372">
        <v>46022</v>
      </c>
      <c r="AQ52" s="352" t="s">
        <v>261</v>
      </c>
      <c r="AR52" s="8"/>
      <c r="AS52" s="8"/>
      <c r="AT52" s="8"/>
      <c r="AU52" s="8"/>
      <c r="AV52" s="8"/>
      <c r="AW52" s="8"/>
      <c r="AX52" s="8"/>
      <c r="AY52" s="8"/>
      <c r="AZ52" s="8"/>
      <c r="BA52" s="8"/>
      <c r="BB52" s="8"/>
      <c r="BC52" s="8"/>
      <c r="BD52" s="8"/>
      <c r="BE52" s="8"/>
      <c r="BF52" s="8"/>
    </row>
    <row r="53" spans="1:58" s="132" customFormat="1" ht="96">
      <c r="A53" s="366">
        <v>2</v>
      </c>
      <c r="B53" s="367" t="s">
        <v>326</v>
      </c>
      <c r="C53" s="368">
        <v>45</v>
      </c>
      <c r="D53" s="355" t="s">
        <v>254</v>
      </c>
      <c r="E53" s="327">
        <v>4503</v>
      </c>
      <c r="F53" s="355" t="s">
        <v>327</v>
      </c>
      <c r="G53" s="355">
        <v>4503016</v>
      </c>
      <c r="H53" s="357" t="s">
        <v>341</v>
      </c>
      <c r="I53" s="327">
        <v>450301600</v>
      </c>
      <c r="J53" s="327" t="s">
        <v>342</v>
      </c>
      <c r="K53" s="358">
        <v>7</v>
      </c>
      <c r="L53" s="358"/>
      <c r="M53" s="358">
        <f t="shared" si="6"/>
        <v>7</v>
      </c>
      <c r="N53" s="327">
        <v>2024003630089</v>
      </c>
      <c r="O53" s="362" t="s">
        <v>330</v>
      </c>
      <c r="P53" s="369" t="s">
        <v>351</v>
      </c>
      <c r="Q53" s="363">
        <v>32000000</v>
      </c>
      <c r="R53" s="129"/>
      <c r="S53" s="130"/>
      <c r="T53" s="130"/>
      <c r="U53" s="935">
        <f>+Q53-R53+S53-T53</f>
        <v>32000000</v>
      </c>
      <c r="V53" s="360" t="s">
        <v>352</v>
      </c>
      <c r="W53" s="329">
        <v>20</v>
      </c>
      <c r="X53" s="329" t="s">
        <v>67</v>
      </c>
      <c r="Y53" s="351">
        <v>205.31299999999999</v>
      </c>
      <c r="Z53" s="370">
        <v>190.92099999999999</v>
      </c>
      <c r="AA53" s="371">
        <v>69341</v>
      </c>
      <c r="AB53" s="371">
        <v>25297</v>
      </c>
      <c r="AC53" s="371">
        <v>219930</v>
      </c>
      <c r="AD53" s="371">
        <v>81666</v>
      </c>
      <c r="AE53" s="351">
        <v>2.2730000000000001</v>
      </c>
      <c r="AF53" s="351">
        <v>4.7629999999999999</v>
      </c>
      <c r="AG53" s="351">
        <v>18</v>
      </c>
      <c r="AH53" s="351">
        <v>4</v>
      </c>
      <c r="AI53" s="351">
        <v>0</v>
      </c>
      <c r="AJ53" s="351">
        <v>0</v>
      </c>
      <c r="AK53" s="351">
        <v>35.661999999999999</v>
      </c>
      <c r="AL53" s="351">
        <v>19.988</v>
      </c>
      <c r="AM53" s="370">
        <v>37.74</v>
      </c>
      <c r="AN53" s="370">
        <f t="shared" si="5"/>
        <v>396.23399999999998</v>
      </c>
      <c r="AO53" s="372">
        <v>45658</v>
      </c>
      <c r="AP53" s="372">
        <v>46022</v>
      </c>
      <c r="AQ53" s="352" t="s">
        <v>261</v>
      </c>
      <c r="AR53" s="8"/>
      <c r="AS53" s="8"/>
      <c r="AT53" s="8"/>
      <c r="AU53" s="8"/>
      <c r="AV53" s="8"/>
      <c r="AW53" s="8"/>
      <c r="AX53" s="8"/>
      <c r="AY53" s="8"/>
      <c r="AZ53" s="8"/>
      <c r="BA53" s="8"/>
      <c r="BB53" s="8"/>
      <c r="BC53" s="8"/>
      <c r="BD53" s="8"/>
      <c r="BE53" s="8"/>
      <c r="BF53" s="8"/>
    </row>
    <row r="54" spans="1:58" s="132" customFormat="1" ht="96">
      <c r="A54" s="366">
        <v>2</v>
      </c>
      <c r="B54" s="367" t="s">
        <v>326</v>
      </c>
      <c r="C54" s="368">
        <v>45</v>
      </c>
      <c r="D54" s="355" t="s">
        <v>254</v>
      </c>
      <c r="E54" s="327">
        <v>4503</v>
      </c>
      <c r="F54" s="355" t="s">
        <v>327</v>
      </c>
      <c r="G54" s="355">
        <v>4503016</v>
      </c>
      <c r="H54" s="357" t="s">
        <v>341</v>
      </c>
      <c r="I54" s="327">
        <v>450301600</v>
      </c>
      <c r="J54" s="327" t="s">
        <v>342</v>
      </c>
      <c r="K54" s="358">
        <v>7</v>
      </c>
      <c r="L54" s="358"/>
      <c r="M54" s="358">
        <f t="shared" si="6"/>
        <v>7</v>
      </c>
      <c r="N54" s="327">
        <v>2024003630089</v>
      </c>
      <c r="O54" s="362" t="s">
        <v>330</v>
      </c>
      <c r="P54" s="369" t="s">
        <v>353</v>
      </c>
      <c r="Q54" s="363">
        <v>10000000</v>
      </c>
      <c r="R54" s="129"/>
      <c r="S54" s="130"/>
      <c r="T54" s="130"/>
      <c r="U54" s="935">
        <f>+Q54-R54+S54-T54</f>
        <v>10000000</v>
      </c>
      <c r="V54" s="360" t="s">
        <v>354</v>
      </c>
      <c r="W54" s="329">
        <v>20</v>
      </c>
      <c r="X54" s="329" t="s">
        <v>67</v>
      </c>
      <c r="Y54" s="351">
        <v>205.31299999999999</v>
      </c>
      <c r="Z54" s="370">
        <v>190.92099999999999</v>
      </c>
      <c r="AA54" s="371">
        <v>69341</v>
      </c>
      <c r="AB54" s="371">
        <v>25297</v>
      </c>
      <c r="AC54" s="371">
        <v>219930</v>
      </c>
      <c r="AD54" s="371">
        <v>81666</v>
      </c>
      <c r="AE54" s="351">
        <v>2.2730000000000001</v>
      </c>
      <c r="AF54" s="351">
        <v>4.7629999999999999</v>
      </c>
      <c r="AG54" s="351">
        <v>18</v>
      </c>
      <c r="AH54" s="351">
        <v>4</v>
      </c>
      <c r="AI54" s="351">
        <v>0</v>
      </c>
      <c r="AJ54" s="351">
        <v>0</v>
      </c>
      <c r="AK54" s="351">
        <v>35.661999999999999</v>
      </c>
      <c r="AL54" s="351">
        <v>19.988</v>
      </c>
      <c r="AM54" s="370">
        <v>37.74</v>
      </c>
      <c r="AN54" s="370">
        <f t="shared" si="5"/>
        <v>396.23399999999998</v>
      </c>
      <c r="AO54" s="372">
        <v>45658</v>
      </c>
      <c r="AP54" s="372">
        <v>46022</v>
      </c>
      <c r="AQ54" s="352" t="s">
        <v>261</v>
      </c>
      <c r="AR54" s="8"/>
      <c r="AS54" s="8"/>
      <c r="AT54" s="8"/>
      <c r="AU54" s="8"/>
      <c r="AV54" s="8"/>
      <c r="AW54" s="8"/>
      <c r="AX54" s="8"/>
      <c r="AY54" s="8"/>
      <c r="AZ54" s="8"/>
      <c r="BA54" s="8"/>
      <c r="BB54" s="8"/>
      <c r="BC54" s="8"/>
      <c r="BD54" s="8"/>
      <c r="BE54" s="8"/>
      <c r="BF54" s="8"/>
    </row>
    <row r="55" spans="1:58" s="132" customFormat="1" ht="96">
      <c r="A55" s="366">
        <v>2</v>
      </c>
      <c r="B55" s="367" t="s">
        <v>326</v>
      </c>
      <c r="C55" s="368">
        <v>45</v>
      </c>
      <c r="D55" s="355" t="s">
        <v>254</v>
      </c>
      <c r="E55" s="327">
        <v>4503</v>
      </c>
      <c r="F55" s="355" t="s">
        <v>327</v>
      </c>
      <c r="G55" s="355">
        <v>4503016</v>
      </c>
      <c r="H55" s="357" t="s">
        <v>341</v>
      </c>
      <c r="I55" s="327">
        <v>450301600</v>
      </c>
      <c r="J55" s="327" t="s">
        <v>342</v>
      </c>
      <c r="K55" s="358">
        <v>7</v>
      </c>
      <c r="L55" s="358"/>
      <c r="M55" s="358">
        <f t="shared" si="6"/>
        <v>7</v>
      </c>
      <c r="N55" s="327">
        <v>2024003630089</v>
      </c>
      <c r="O55" s="362" t="s">
        <v>330</v>
      </c>
      <c r="P55" s="369" t="s">
        <v>355</v>
      </c>
      <c r="Q55" s="363">
        <v>30000000</v>
      </c>
      <c r="R55" s="129"/>
      <c r="S55" s="130"/>
      <c r="T55" s="130"/>
      <c r="U55" s="935">
        <f>+Q55-R55+S55-T55</f>
        <v>30000000</v>
      </c>
      <c r="V55" s="360" t="s">
        <v>356</v>
      </c>
      <c r="W55" s="329">
        <v>20</v>
      </c>
      <c r="X55" s="329" t="s">
        <v>67</v>
      </c>
      <c r="Y55" s="351">
        <v>205.31299999999999</v>
      </c>
      <c r="Z55" s="370">
        <v>190.92099999999999</v>
      </c>
      <c r="AA55" s="371">
        <v>69341</v>
      </c>
      <c r="AB55" s="371">
        <v>25297</v>
      </c>
      <c r="AC55" s="371">
        <v>219930</v>
      </c>
      <c r="AD55" s="371">
        <v>81666</v>
      </c>
      <c r="AE55" s="351">
        <v>2.2730000000000001</v>
      </c>
      <c r="AF55" s="351">
        <v>4.7629999999999999</v>
      </c>
      <c r="AG55" s="351">
        <v>18</v>
      </c>
      <c r="AH55" s="351">
        <v>4</v>
      </c>
      <c r="AI55" s="351">
        <v>0</v>
      </c>
      <c r="AJ55" s="351">
        <v>0</v>
      </c>
      <c r="AK55" s="351">
        <v>35.661999999999999</v>
      </c>
      <c r="AL55" s="351">
        <v>19.988</v>
      </c>
      <c r="AM55" s="370">
        <v>37.74</v>
      </c>
      <c r="AN55" s="370">
        <f t="shared" si="5"/>
        <v>396.23399999999998</v>
      </c>
      <c r="AO55" s="372">
        <v>45658</v>
      </c>
      <c r="AP55" s="372">
        <v>46022</v>
      </c>
      <c r="AQ55" s="352" t="s">
        <v>261</v>
      </c>
      <c r="AR55" s="8"/>
      <c r="AS55" s="8"/>
      <c r="AT55" s="8"/>
      <c r="AU55" s="8"/>
      <c r="AV55" s="8"/>
      <c r="AW55" s="8"/>
      <c r="AX55" s="8"/>
      <c r="AY55" s="8"/>
      <c r="AZ55" s="8"/>
      <c r="BA55" s="8"/>
      <c r="BB55" s="8"/>
      <c r="BC55" s="8"/>
      <c r="BD55" s="8"/>
      <c r="BE55" s="8"/>
      <c r="BF55" s="8"/>
    </row>
    <row r="56" spans="1:58" s="132" customFormat="1" ht="96">
      <c r="A56" s="366">
        <v>2</v>
      </c>
      <c r="B56" s="367" t="s">
        <v>326</v>
      </c>
      <c r="C56" s="368">
        <v>45</v>
      </c>
      <c r="D56" s="355" t="s">
        <v>254</v>
      </c>
      <c r="E56" s="327">
        <v>4503</v>
      </c>
      <c r="F56" s="355" t="s">
        <v>327</v>
      </c>
      <c r="G56" s="355">
        <v>4503016</v>
      </c>
      <c r="H56" s="357" t="s">
        <v>341</v>
      </c>
      <c r="I56" s="327">
        <v>450301600</v>
      </c>
      <c r="J56" s="327" t="s">
        <v>342</v>
      </c>
      <c r="K56" s="358">
        <v>7</v>
      </c>
      <c r="L56" s="358"/>
      <c r="M56" s="358">
        <f t="shared" si="6"/>
        <v>7</v>
      </c>
      <c r="N56" s="327">
        <v>2024003630089</v>
      </c>
      <c r="O56" s="362" t="s">
        <v>330</v>
      </c>
      <c r="P56" s="369" t="s">
        <v>357</v>
      </c>
      <c r="Q56" s="363">
        <v>70000000</v>
      </c>
      <c r="R56" s="129"/>
      <c r="S56" s="130"/>
      <c r="T56" s="130"/>
      <c r="U56" s="935">
        <f>+Q56-R56+S56-T56</f>
        <v>70000000</v>
      </c>
      <c r="V56" s="360" t="s">
        <v>358</v>
      </c>
      <c r="W56" s="329">
        <v>20</v>
      </c>
      <c r="X56" s="329" t="s">
        <v>67</v>
      </c>
      <c r="Y56" s="351">
        <v>205.31299999999999</v>
      </c>
      <c r="Z56" s="370">
        <v>190.92099999999999</v>
      </c>
      <c r="AA56" s="371">
        <v>69341</v>
      </c>
      <c r="AB56" s="371">
        <v>25297</v>
      </c>
      <c r="AC56" s="371">
        <v>219930</v>
      </c>
      <c r="AD56" s="371">
        <v>81666</v>
      </c>
      <c r="AE56" s="351">
        <v>2.2730000000000001</v>
      </c>
      <c r="AF56" s="351">
        <v>4.7629999999999999</v>
      </c>
      <c r="AG56" s="351">
        <v>18</v>
      </c>
      <c r="AH56" s="351">
        <v>4</v>
      </c>
      <c r="AI56" s="351">
        <v>0</v>
      </c>
      <c r="AJ56" s="351">
        <v>0</v>
      </c>
      <c r="AK56" s="351">
        <v>35.661999999999999</v>
      </c>
      <c r="AL56" s="351">
        <v>19.988</v>
      </c>
      <c r="AM56" s="370">
        <v>37.74</v>
      </c>
      <c r="AN56" s="370">
        <f t="shared" si="5"/>
        <v>396.23399999999998</v>
      </c>
      <c r="AO56" s="372">
        <v>45658</v>
      </c>
      <c r="AP56" s="372">
        <v>46022</v>
      </c>
      <c r="AQ56" s="352" t="s">
        <v>261</v>
      </c>
      <c r="AR56" s="8"/>
      <c r="AS56" s="8"/>
      <c r="AT56" s="8"/>
      <c r="AU56" s="8"/>
      <c r="AV56" s="8"/>
      <c r="AW56" s="8"/>
      <c r="AX56" s="8"/>
      <c r="AY56" s="8"/>
      <c r="AZ56" s="8"/>
      <c r="BA56" s="8"/>
      <c r="BB56" s="8"/>
      <c r="BC56" s="8"/>
      <c r="BD56" s="8"/>
      <c r="BE56" s="8"/>
      <c r="BF56" s="8"/>
    </row>
    <row r="57" spans="1:58" s="132" customFormat="1" ht="96">
      <c r="A57" s="366">
        <v>2</v>
      </c>
      <c r="B57" s="367" t="s">
        <v>326</v>
      </c>
      <c r="C57" s="368">
        <v>45</v>
      </c>
      <c r="D57" s="355" t="s">
        <v>254</v>
      </c>
      <c r="E57" s="327">
        <v>4503</v>
      </c>
      <c r="F57" s="355" t="s">
        <v>327</v>
      </c>
      <c r="G57" s="355">
        <v>4503016</v>
      </c>
      <c r="H57" s="357" t="s">
        <v>341</v>
      </c>
      <c r="I57" s="327">
        <v>450301600</v>
      </c>
      <c r="J57" s="327" t="s">
        <v>342</v>
      </c>
      <c r="K57" s="358">
        <v>7</v>
      </c>
      <c r="L57" s="358"/>
      <c r="M57" s="358">
        <f t="shared" si="6"/>
        <v>7</v>
      </c>
      <c r="N57" s="327">
        <v>2024003630089</v>
      </c>
      <c r="O57" s="362" t="s">
        <v>330</v>
      </c>
      <c r="P57" s="369" t="s">
        <v>359</v>
      </c>
      <c r="Q57" s="363">
        <v>37000000</v>
      </c>
      <c r="R57" s="129"/>
      <c r="S57" s="130"/>
      <c r="T57" s="130"/>
      <c r="U57" s="935">
        <f>+Q57-R57+S57-T57</f>
        <v>37000000</v>
      </c>
      <c r="V57" s="360" t="s">
        <v>354</v>
      </c>
      <c r="W57" s="329">
        <v>20</v>
      </c>
      <c r="X57" s="329" t="s">
        <v>67</v>
      </c>
      <c r="Y57" s="351">
        <v>205.31299999999999</v>
      </c>
      <c r="Z57" s="370">
        <v>190.92099999999999</v>
      </c>
      <c r="AA57" s="371">
        <v>69341</v>
      </c>
      <c r="AB57" s="371">
        <v>25297</v>
      </c>
      <c r="AC57" s="371">
        <v>219930</v>
      </c>
      <c r="AD57" s="371">
        <v>81666</v>
      </c>
      <c r="AE57" s="351">
        <v>2.2730000000000001</v>
      </c>
      <c r="AF57" s="351">
        <v>4.7629999999999999</v>
      </c>
      <c r="AG57" s="351">
        <v>18</v>
      </c>
      <c r="AH57" s="351">
        <v>4</v>
      </c>
      <c r="AI57" s="351">
        <v>0</v>
      </c>
      <c r="AJ57" s="351">
        <v>0</v>
      </c>
      <c r="AK57" s="351">
        <v>35.661999999999999</v>
      </c>
      <c r="AL57" s="351">
        <v>19.988</v>
      </c>
      <c r="AM57" s="370">
        <v>37.74</v>
      </c>
      <c r="AN57" s="370">
        <f t="shared" si="5"/>
        <v>396.23399999999998</v>
      </c>
      <c r="AO57" s="372">
        <v>45658</v>
      </c>
      <c r="AP57" s="372">
        <v>46022</v>
      </c>
      <c r="AQ57" s="352" t="s">
        <v>261</v>
      </c>
      <c r="AR57" s="8"/>
      <c r="AS57" s="8"/>
      <c r="AT57" s="8"/>
      <c r="AU57" s="8"/>
      <c r="AV57" s="8"/>
      <c r="AW57" s="8"/>
      <c r="AX57" s="8"/>
      <c r="AY57" s="8"/>
      <c r="AZ57" s="8"/>
      <c r="BA57" s="8"/>
      <c r="BB57" s="8"/>
      <c r="BC57" s="8"/>
      <c r="BD57" s="8"/>
      <c r="BE57" s="8"/>
      <c r="BF57" s="8"/>
    </row>
    <row r="58" spans="1:58" s="132" customFormat="1" ht="96">
      <c r="A58" s="366">
        <v>2</v>
      </c>
      <c r="B58" s="367" t="s">
        <v>326</v>
      </c>
      <c r="C58" s="368">
        <v>45</v>
      </c>
      <c r="D58" s="355" t="s">
        <v>254</v>
      </c>
      <c r="E58" s="327">
        <v>4503</v>
      </c>
      <c r="F58" s="355" t="s">
        <v>327</v>
      </c>
      <c r="G58" s="355">
        <v>4503016</v>
      </c>
      <c r="H58" s="357" t="s">
        <v>341</v>
      </c>
      <c r="I58" s="327">
        <v>450301600</v>
      </c>
      <c r="J58" s="327" t="s">
        <v>342</v>
      </c>
      <c r="K58" s="358">
        <v>7</v>
      </c>
      <c r="L58" s="358"/>
      <c r="M58" s="358">
        <f t="shared" si="6"/>
        <v>7</v>
      </c>
      <c r="N58" s="327">
        <v>2024003630089</v>
      </c>
      <c r="O58" s="362" t="s">
        <v>330</v>
      </c>
      <c r="P58" s="369" t="s">
        <v>360</v>
      </c>
      <c r="Q58" s="363">
        <v>60000000</v>
      </c>
      <c r="R58" s="129"/>
      <c r="S58" s="130"/>
      <c r="T58" s="130"/>
      <c r="U58" s="935">
        <f>+Q58-R58+S58-T58</f>
        <v>60000000</v>
      </c>
      <c r="V58" s="374" t="s">
        <v>361</v>
      </c>
      <c r="W58" s="329">
        <v>20</v>
      </c>
      <c r="X58" s="329" t="s">
        <v>67</v>
      </c>
      <c r="Y58" s="351">
        <v>205.31299999999999</v>
      </c>
      <c r="Z58" s="370">
        <v>190.92099999999999</v>
      </c>
      <c r="AA58" s="371">
        <v>69341</v>
      </c>
      <c r="AB58" s="371">
        <v>25297</v>
      </c>
      <c r="AC58" s="371">
        <v>219930</v>
      </c>
      <c r="AD58" s="371">
        <v>81666</v>
      </c>
      <c r="AE58" s="351">
        <v>2.2730000000000001</v>
      </c>
      <c r="AF58" s="351">
        <v>4.7629999999999999</v>
      </c>
      <c r="AG58" s="351">
        <v>18</v>
      </c>
      <c r="AH58" s="351">
        <v>4</v>
      </c>
      <c r="AI58" s="351">
        <v>0</v>
      </c>
      <c r="AJ58" s="351">
        <v>0</v>
      </c>
      <c r="AK58" s="351">
        <v>35.661999999999999</v>
      </c>
      <c r="AL58" s="351">
        <v>19.988</v>
      </c>
      <c r="AM58" s="370">
        <v>37.74</v>
      </c>
      <c r="AN58" s="370">
        <f t="shared" si="5"/>
        <v>396.23399999999998</v>
      </c>
      <c r="AO58" s="372">
        <v>45658</v>
      </c>
      <c r="AP58" s="372">
        <v>46022</v>
      </c>
      <c r="AQ58" s="352" t="s">
        <v>261</v>
      </c>
      <c r="AR58" s="8"/>
      <c r="AS58" s="8"/>
      <c r="AT58" s="8"/>
      <c r="AU58" s="8"/>
      <c r="AV58" s="8"/>
      <c r="AW58" s="8"/>
      <c r="AX58" s="8"/>
      <c r="AY58" s="8"/>
      <c r="AZ58" s="8"/>
      <c r="BA58" s="8"/>
      <c r="BB58" s="8"/>
      <c r="BC58" s="8"/>
      <c r="BD58" s="8"/>
      <c r="BE58" s="8"/>
      <c r="BF58" s="8"/>
    </row>
    <row r="59" spans="1:58" s="132" customFormat="1" ht="117" customHeight="1">
      <c r="A59" s="366">
        <v>2</v>
      </c>
      <c r="B59" s="367" t="s">
        <v>326</v>
      </c>
      <c r="C59" s="368">
        <v>45</v>
      </c>
      <c r="D59" s="355" t="s">
        <v>254</v>
      </c>
      <c r="E59" s="327">
        <v>4503</v>
      </c>
      <c r="F59" s="355" t="s">
        <v>327</v>
      </c>
      <c r="G59" s="355">
        <v>4503016</v>
      </c>
      <c r="H59" s="357" t="s">
        <v>341</v>
      </c>
      <c r="I59" s="327">
        <v>450301600</v>
      </c>
      <c r="J59" s="327" t="s">
        <v>342</v>
      </c>
      <c r="K59" s="358">
        <v>7</v>
      </c>
      <c r="L59" s="358"/>
      <c r="M59" s="358">
        <f t="shared" si="6"/>
        <v>7</v>
      </c>
      <c r="N59" s="327">
        <v>2024003630089</v>
      </c>
      <c r="O59" s="362" t="s">
        <v>330</v>
      </c>
      <c r="P59" s="375" t="s">
        <v>362</v>
      </c>
      <c r="Q59" s="363">
        <v>31000000</v>
      </c>
      <c r="R59" s="129"/>
      <c r="S59" s="130"/>
      <c r="T59" s="130"/>
      <c r="U59" s="935">
        <f>+Q59-R59+S59-T59</f>
        <v>31000000</v>
      </c>
      <c r="V59" s="376" t="s">
        <v>363</v>
      </c>
      <c r="W59" s="329">
        <v>20</v>
      </c>
      <c r="X59" s="329" t="s">
        <v>67</v>
      </c>
      <c r="Y59" s="351">
        <v>205.31299999999999</v>
      </c>
      <c r="Z59" s="370">
        <v>190.92099999999999</v>
      </c>
      <c r="AA59" s="371">
        <v>69341</v>
      </c>
      <c r="AB59" s="371">
        <v>25297</v>
      </c>
      <c r="AC59" s="371">
        <v>219930</v>
      </c>
      <c r="AD59" s="371">
        <v>81666</v>
      </c>
      <c r="AE59" s="351">
        <v>2.2730000000000001</v>
      </c>
      <c r="AF59" s="351">
        <v>4.7629999999999999</v>
      </c>
      <c r="AG59" s="351">
        <v>18</v>
      </c>
      <c r="AH59" s="351">
        <v>4</v>
      </c>
      <c r="AI59" s="351">
        <v>0</v>
      </c>
      <c r="AJ59" s="351">
        <v>0</v>
      </c>
      <c r="AK59" s="351">
        <v>35.661999999999999</v>
      </c>
      <c r="AL59" s="351">
        <v>19.988</v>
      </c>
      <c r="AM59" s="370">
        <v>37.74</v>
      </c>
      <c r="AN59" s="370">
        <f t="shared" si="5"/>
        <v>396.23399999999998</v>
      </c>
      <c r="AO59" s="372">
        <v>45658</v>
      </c>
      <c r="AP59" s="372">
        <v>46022</v>
      </c>
      <c r="AQ59" s="352" t="s">
        <v>261</v>
      </c>
      <c r="AR59" s="8"/>
      <c r="AS59" s="8"/>
      <c r="AT59" s="8"/>
      <c r="AU59" s="8"/>
      <c r="AV59" s="8"/>
      <c r="AW59" s="8"/>
      <c r="AX59" s="8"/>
      <c r="AY59" s="8"/>
      <c r="AZ59" s="8"/>
      <c r="BA59" s="8"/>
      <c r="BB59" s="8"/>
      <c r="BC59" s="8"/>
      <c r="BD59" s="8"/>
      <c r="BE59" s="8"/>
      <c r="BF59" s="8"/>
    </row>
    <row r="60" spans="1:58" s="132" customFormat="1" ht="117" customHeight="1">
      <c r="A60" s="366">
        <v>2</v>
      </c>
      <c r="B60" s="367" t="s">
        <v>326</v>
      </c>
      <c r="C60" s="368">
        <v>45</v>
      </c>
      <c r="D60" s="355" t="s">
        <v>254</v>
      </c>
      <c r="E60" s="327">
        <v>4503</v>
      </c>
      <c r="F60" s="355" t="s">
        <v>327</v>
      </c>
      <c r="G60" s="355">
        <v>4503019</v>
      </c>
      <c r="H60" s="327" t="s">
        <v>364</v>
      </c>
      <c r="I60" s="327">
        <v>450301900</v>
      </c>
      <c r="J60" s="327" t="s">
        <v>194</v>
      </c>
      <c r="K60" s="358">
        <v>1</v>
      </c>
      <c r="L60" s="358"/>
      <c r="M60" s="358">
        <v>1</v>
      </c>
      <c r="N60" s="327">
        <v>2024003630089</v>
      </c>
      <c r="O60" s="362" t="s">
        <v>330</v>
      </c>
      <c r="P60" s="334" t="s">
        <v>365</v>
      </c>
      <c r="Q60" s="363">
        <v>15000000</v>
      </c>
      <c r="R60" s="129">
        <v>500000</v>
      </c>
      <c r="S60" s="130"/>
      <c r="T60" s="130"/>
      <c r="U60" s="935">
        <f>+Q60-R60+S60-T60</f>
        <v>14500000</v>
      </c>
      <c r="V60" s="360" t="s">
        <v>366</v>
      </c>
      <c r="W60" s="329">
        <v>20</v>
      </c>
      <c r="X60" s="329" t="s">
        <v>67</v>
      </c>
      <c r="Y60" s="351">
        <v>205.31299999999999</v>
      </c>
      <c r="Z60" s="370">
        <v>190.92099999999999</v>
      </c>
      <c r="AA60" s="371">
        <v>69341</v>
      </c>
      <c r="AB60" s="371">
        <v>25297</v>
      </c>
      <c r="AC60" s="371">
        <v>219930</v>
      </c>
      <c r="AD60" s="371">
        <v>81666</v>
      </c>
      <c r="AE60" s="351">
        <v>2.2730000000000001</v>
      </c>
      <c r="AF60" s="351">
        <v>4.7629999999999999</v>
      </c>
      <c r="AG60" s="351">
        <v>18</v>
      </c>
      <c r="AH60" s="351">
        <v>4</v>
      </c>
      <c r="AI60" s="351">
        <v>0</v>
      </c>
      <c r="AJ60" s="351">
        <v>0</v>
      </c>
      <c r="AK60" s="351">
        <v>35.661999999999999</v>
      </c>
      <c r="AL60" s="351">
        <v>19.988</v>
      </c>
      <c r="AM60" s="370">
        <v>37.74</v>
      </c>
      <c r="AN60" s="370">
        <f t="shared" si="5"/>
        <v>396.23399999999998</v>
      </c>
      <c r="AO60" s="372">
        <v>45658</v>
      </c>
      <c r="AP60" s="372">
        <v>46022</v>
      </c>
      <c r="AQ60" s="352" t="s">
        <v>261</v>
      </c>
      <c r="AR60" s="8"/>
      <c r="AS60" s="8"/>
      <c r="AT60" s="8"/>
      <c r="AU60" s="8"/>
      <c r="AV60" s="8"/>
      <c r="AW60" s="8"/>
      <c r="AX60" s="8"/>
      <c r="AY60" s="8"/>
      <c r="AZ60" s="8"/>
      <c r="BA60" s="8"/>
      <c r="BB60" s="8"/>
      <c r="BC60" s="8"/>
      <c r="BD60" s="8"/>
      <c r="BE60" s="8"/>
      <c r="BF60" s="8"/>
    </row>
    <row r="61" spans="1:58" s="132" customFormat="1" ht="117" customHeight="1">
      <c r="A61" s="366">
        <v>2</v>
      </c>
      <c r="B61" s="367" t="s">
        <v>326</v>
      </c>
      <c r="C61" s="368">
        <v>45</v>
      </c>
      <c r="D61" s="355" t="s">
        <v>254</v>
      </c>
      <c r="E61" s="327">
        <v>4503</v>
      </c>
      <c r="F61" s="355" t="s">
        <v>327</v>
      </c>
      <c r="G61" s="355">
        <v>4503019</v>
      </c>
      <c r="H61" s="327" t="s">
        <v>364</v>
      </c>
      <c r="I61" s="327">
        <v>450301900</v>
      </c>
      <c r="J61" s="327" t="s">
        <v>194</v>
      </c>
      <c r="K61" s="358">
        <v>1</v>
      </c>
      <c r="L61" s="358"/>
      <c r="M61" s="358">
        <v>1</v>
      </c>
      <c r="N61" s="327">
        <v>2024003630089</v>
      </c>
      <c r="O61" s="362" t="s">
        <v>330</v>
      </c>
      <c r="P61" s="334" t="s">
        <v>367</v>
      </c>
      <c r="Q61" s="363">
        <v>15000000</v>
      </c>
      <c r="R61" s="129"/>
      <c r="S61" s="130"/>
      <c r="T61" s="130"/>
      <c r="U61" s="935">
        <f>+Q61-R61+S61-T61</f>
        <v>15000000</v>
      </c>
      <c r="V61" s="360" t="s">
        <v>366</v>
      </c>
      <c r="W61" s="329">
        <v>20</v>
      </c>
      <c r="X61" s="329" t="s">
        <v>67</v>
      </c>
      <c r="Y61" s="351">
        <v>205.31299999999999</v>
      </c>
      <c r="Z61" s="370">
        <v>190.92099999999999</v>
      </c>
      <c r="AA61" s="371">
        <v>69341</v>
      </c>
      <c r="AB61" s="371">
        <v>25297</v>
      </c>
      <c r="AC61" s="371">
        <v>219930</v>
      </c>
      <c r="AD61" s="371">
        <v>81666</v>
      </c>
      <c r="AE61" s="351">
        <v>2.2730000000000001</v>
      </c>
      <c r="AF61" s="351">
        <v>4.7629999999999999</v>
      </c>
      <c r="AG61" s="351">
        <v>18</v>
      </c>
      <c r="AH61" s="351">
        <v>4</v>
      </c>
      <c r="AI61" s="351">
        <v>0</v>
      </c>
      <c r="AJ61" s="351">
        <v>0</v>
      </c>
      <c r="AK61" s="351">
        <v>35.661999999999999</v>
      </c>
      <c r="AL61" s="351">
        <v>19.988</v>
      </c>
      <c r="AM61" s="370">
        <v>37.74</v>
      </c>
      <c r="AN61" s="370">
        <f t="shared" si="5"/>
        <v>396.23399999999998</v>
      </c>
      <c r="AO61" s="372">
        <v>45658</v>
      </c>
      <c r="AP61" s="372">
        <v>46022</v>
      </c>
      <c r="AQ61" s="352" t="s">
        <v>261</v>
      </c>
      <c r="AR61" s="8"/>
      <c r="AS61" s="8"/>
      <c r="AT61" s="8"/>
      <c r="AU61" s="8"/>
      <c r="AV61" s="8"/>
      <c r="AW61" s="8"/>
      <c r="AX61" s="8"/>
      <c r="AY61" s="8"/>
      <c r="AZ61" s="8"/>
      <c r="BA61" s="8"/>
      <c r="BB61" s="8"/>
      <c r="BC61" s="8"/>
      <c r="BD61" s="8"/>
      <c r="BE61" s="8"/>
      <c r="BF61" s="8"/>
    </row>
    <row r="62" spans="1:58" s="132" customFormat="1" ht="117" customHeight="1">
      <c r="A62" s="366">
        <v>2</v>
      </c>
      <c r="B62" s="367" t="s">
        <v>326</v>
      </c>
      <c r="C62" s="368">
        <v>45</v>
      </c>
      <c r="D62" s="355" t="s">
        <v>254</v>
      </c>
      <c r="E62" s="327">
        <v>4503</v>
      </c>
      <c r="F62" s="355" t="s">
        <v>327</v>
      </c>
      <c r="G62" s="377" t="s">
        <v>368</v>
      </c>
      <c r="H62" s="355" t="s">
        <v>369</v>
      </c>
      <c r="I62" s="377" t="s">
        <v>370</v>
      </c>
      <c r="J62" s="355" t="s">
        <v>371</v>
      </c>
      <c r="K62" s="128">
        <v>150</v>
      </c>
      <c r="L62" s="128">
        <v>15</v>
      </c>
      <c r="M62" s="128">
        <f t="shared" ref="M62:M67" si="7">+K62+L62</f>
        <v>165</v>
      </c>
      <c r="N62" s="327">
        <v>2024003630089</v>
      </c>
      <c r="O62" s="362" t="s">
        <v>330</v>
      </c>
      <c r="P62" s="334" t="s">
        <v>372</v>
      </c>
      <c r="Q62" s="363">
        <v>30000000</v>
      </c>
      <c r="R62" s="129"/>
      <c r="S62" s="130"/>
      <c r="T62" s="130"/>
      <c r="U62" s="935">
        <f>+Q62-R62+S62-T62</f>
        <v>30000000</v>
      </c>
      <c r="V62" s="360" t="s">
        <v>373</v>
      </c>
      <c r="W62" s="329">
        <v>20</v>
      </c>
      <c r="X62" s="329" t="s">
        <v>67</v>
      </c>
      <c r="Y62" s="351">
        <v>205.31299999999999</v>
      </c>
      <c r="Z62" s="370">
        <v>190.92099999999999</v>
      </c>
      <c r="AA62" s="371">
        <v>69341</v>
      </c>
      <c r="AB62" s="371">
        <v>25297</v>
      </c>
      <c r="AC62" s="371">
        <v>219930</v>
      </c>
      <c r="AD62" s="371">
        <v>81666</v>
      </c>
      <c r="AE62" s="351">
        <v>2.2730000000000001</v>
      </c>
      <c r="AF62" s="351">
        <v>4.7629999999999999</v>
      </c>
      <c r="AG62" s="351">
        <v>18</v>
      </c>
      <c r="AH62" s="351">
        <v>4</v>
      </c>
      <c r="AI62" s="351">
        <v>0</v>
      </c>
      <c r="AJ62" s="351">
        <v>0</v>
      </c>
      <c r="AK62" s="351">
        <v>35.661999999999999</v>
      </c>
      <c r="AL62" s="351">
        <v>19.988</v>
      </c>
      <c r="AM62" s="370">
        <v>37.74</v>
      </c>
      <c r="AN62" s="370">
        <f t="shared" si="5"/>
        <v>396.23399999999998</v>
      </c>
      <c r="AO62" s="372">
        <v>45658</v>
      </c>
      <c r="AP62" s="372">
        <v>46022</v>
      </c>
      <c r="AQ62" s="352" t="s">
        <v>261</v>
      </c>
      <c r="AR62" s="8"/>
      <c r="AS62" s="8"/>
      <c r="AT62" s="8"/>
      <c r="AU62" s="8"/>
      <c r="AV62" s="8"/>
      <c r="AW62" s="8"/>
      <c r="AX62" s="8"/>
      <c r="AY62" s="8"/>
      <c r="AZ62" s="8"/>
      <c r="BA62" s="8"/>
      <c r="BB62" s="8"/>
      <c r="BC62" s="8"/>
      <c r="BD62" s="8"/>
      <c r="BE62" s="8"/>
      <c r="BF62" s="8"/>
    </row>
    <row r="63" spans="1:58" s="132" customFormat="1" ht="117" customHeight="1">
      <c r="A63" s="366">
        <v>2</v>
      </c>
      <c r="B63" s="367" t="s">
        <v>326</v>
      </c>
      <c r="C63" s="368">
        <v>45</v>
      </c>
      <c r="D63" s="355" t="s">
        <v>254</v>
      </c>
      <c r="E63" s="327">
        <v>4503</v>
      </c>
      <c r="F63" s="355" t="s">
        <v>327</v>
      </c>
      <c r="G63" s="377" t="s">
        <v>368</v>
      </c>
      <c r="H63" s="355" t="s">
        <v>369</v>
      </c>
      <c r="I63" s="377" t="s">
        <v>370</v>
      </c>
      <c r="J63" s="355" t="s">
        <v>371</v>
      </c>
      <c r="K63" s="128">
        <v>150</v>
      </c>
      <c r="L63" s="128">
        <v>15</v>
      </c>
      <c r="M63" s="128">
        <f t="shared" si="7"/>
        <v>165</v>
      </c>
      <c r="N63" s="327">
        <v>2024003630089</v>
      </c>
      <c r="O63" s="362" t="s">
        <v>330</v>
      </c>
      <c r="P63" s="334" t="s">
        <v>374</v>
      </c>
      <c r="Q63" s="363">
        <v>40000000</v>
      </c>
      <c r="R63" s="129"/>
      <c r="S63" s="130"/>
      <c r="T63" s="130"/>
      <c r="U63" s="935">
        <f>+Q63-R63+S63-T63</f>
        <v>40000000</v>
      </c>
      <c r="V63" s="353" t="s">
        <v>375</v>
      </c>
      <c r="W63" s="329">
        <v>20</v>
      </c>
      <c r="X63" s="329" t="s">
        <v>67</v>
      </c>
      <c r="Y63" s="351">
        <v>205.31299999999999</v>
      </c>
      <c r="Z63" s="370">
        <v>190.92099999999999</v>
      </c>
      <c r="AA63" s="371">
        <v>69341</v>
      </c>
      <c r="AB63" s="371">
        <v>25297</v>
      </c>
      <c r="AC63" s="371">
        <v>219930</v>
      </c>
      <c r="AD63" s="371">
        <v>81666</v>
      </c>
      <c r="AE63" s="351">
        <v>2.2730000000000001</v>
      </c>
      <c r="AF63" s="351">
        <v>4.7629999999999999</v>
      </c>
      <c r="AG63" s="351">
        <v>18</v>
      </c>
      <c r="AH63" s="351">
        <v>4</v>
      </c>
      <c r="AI63" s="351">
        <v>0</v>
      </c>
      <c r="AJ63" s="351">
        <v>0</v>
      </c>
      <c r="AK63" s="351">
        <v>35.661999999999999</v>
      </c>
      <c r="AL63" s="351">
        <v>19.988</v>
      </c>
      <c r="AM63" s="370">
        <v>37.74</v>
      </c>
      <c r="AN63" s="370">
        <f t="shared" si="5"/>
        <v>396.23399999999998</v>
      </c>
      <c r="AO63" s="372">
        <v>45658</v>
      </c>
      <c r="AP63" s="372">
        <v>46022</v>
      </c>
      <c r="AQ63" s="352" t="s">
        <v>261</v>
      </c>
      <c r="AR63" s="8"/>
      <c r="AS63" s="8"/>
      <c r="AT63" s="8"/>
      <c r="AU63" s="8"/>
      <c r="AV63" s="8"/>
      <c r="AW63" s="8"/>
      <c r="AX63" s="8"/>
      <c r="AY63" s="8"/>
      <c r="AZ63" s="8"/>
      <c r="BA63" s="8"/>
      <c r="BB63" s="8"/>
      <c r="BC63" s="8"/>
      <c r="BD63" s="8"/>
      <c r="BE63" s="8"/>
      <c r="BF63" s="8"/>
    </row>
    <row r="64" spans="1:58" s="132" customFormat="1" ht="117" customHeight="1">
      <c r="A64" s="366">
        <v>2</v>
      </c>
      <c r="B64" s="367" t="s">
        <v>326</v>
      </c>
      <c r="C64" s="368">
        <v>45</v>
      </c>
      <c r="D64" s="355" t="s">
        <v>254</v>
      </c>
      <c r="E64" s="327">
        <v>4503</v>
      </c>
      <c r="F64" s="355" t="s">
        <v>327</v>
      </c>
      <c r="G64" s="377" t="s">
        <v>368</v>
      </c>
      <c r="H64" s="355" t="s">
        <v>369</v>
      </c>
      <c r="I64" s="377" t="s">
        <v>370</v>
      </c>
      <c r="J64" s="355" t="s">
        <v>371</v>
      </c>
      <c r="K64" s="128">
        <v>150</v>
      </c>
      <c r="L64" s="128">
        <v>15</v>
      </c>
      <c r="M64" s="128">
        <f t="shared" si="7"/>
        <v>165</v>
      </c>
      <c r="N64" s="327">
        <v>2024003630089</v>
      </c>
      <c r="O64" s="362" t="s">
        <v>330</v>
      </c>
      <c r="P64" s="334" t="s">
        <v>376</v>
      </c>
      <c r="Q64" s="363">
        <v>80000000</v>
      </c>
      <c r="R64" s="129"/>
      <c r="S64" s="130"/>
      <c r="T64" s="130"/>
      <c r="U64" s="935">
        <f>+Q64-R64+S64-T64</f>
        <v>80000000</v>
      </c>
      <c r="V64" s="353" t="s">
        <v>377</v>
      </c>
      <c r="W64" s="329">
        <v>20</v>
      </c>
      <c r="X64" s="329" t="s">
        <v>67</v>
      </c>
      <c r="Y64" s="351">
        <v>205.31299999999999</v>
      </c>
      <c r="Z64" s="370">
        <v>190.92099999999999</v>
      </c>
      <c r="AA64" s="371">
        <v>69341</v>
      </c>
      <c r="AB64" s="371">
        <v>25297</v>
      </c>
      <c r="AC64" s="371">
        <v>219930</v>
      </c>
      <c r="AD64" s="371">
        <v>81666</v>
      </c>
      <c r="AE64" s="351">
        <v>2.2730000000000001</v>
      </c>
      <c r="AF64" s="351">
        <v>4.7629999999999999</v>
      </c>
      <c r="AG64" s="351">
        <v>18</v>
      </c>
      <c r="AH64" s="351">
        <v>4</v>
      </c>
      <c r="AI64" s="351">
        <v>0</v>
      </c>
      <c r="AJ64" s="351">
        <v>0</v>
      </c>
      <c r="AK64" s="351">
        <v>35.661999999999999</v>
      </c>
      <c r="AL64" s="351">
        <v>19.988</v>
      </c>
      <c r="AM64" s="370">
        <v>37.74</v>
      </c>
      <c r="AN64" s="370">
        <f t="shared" si="5"/>
        <v>396.23399999999998</v>
      </c>
      <c r="AO64" s="372">
        <v>45658</v>
      </c>
      <c r="AP64" s="372">
        <v>46022</v>
      </c>
      <c r="AQ64" s="352" t="s">
        <v>261</v>
      </c>
      <c r="AR64" s="8"/>
      <c r="AS64" s="8"/>
      <c r="AT64" s="8"/>
      <c r="AU64" s="8"/>
      <c r="AV64" s="8"/>
      <c r="AW64" s="8"/>
      <c r="AX64" s="8"/>
      <c r="AY64" s="8"/>
      <c r="AZ64" s="8"/>
      <c r="BA64" s="8"/>
      <c r="BB64" s="8"/>
      <c r="BC64" s="8"/>
      <c r="BD64" s="8"/>
      <c r="BE64" s="8"/>
      <c r="BF64" s="8"/>
    </row>
    <row r="65" spans="1:58" s="132" customFormat="1" ht="117" customHeight="1">
      <c r="A65" s="327">
        <v>1</v>
      </c>
      <c r="B65" s="355" t="s">
        <v>272</v>
      </c>
      <c r="C65" s="356">
        <v>22</v>
      </c>
      <c r="D65" s="355" t="s">
        <v>378</v>
      </c>
      <c r="E65" s="327">
        <v>2201</v>
      </c>
      <c r="F65" s="362" t="s">
        <v>379</v>
      </c>
      <c r="G65" s="327">
        <v>2201068</v>
      </c>
      <c r="H65" s="355" t="s">
        <v>380</v>
      </c>
      <c r="I65" s="327">
        <v>220106800</v>
      </c>
      <c r="J65" s="355" t="s">
        <v>381</v>
      </c>
      <c r="K65" s="113">
        <v>66</v>
      </c>
      <c r="L65" s="113"/>
      <c r="M65" s="128">
        <f t="shared" si="7"/>
        <v>66</v>
      </c>
      <c r="N65" s="327">
        <v>2024003630095</v>
      </c>
      <c r="O65" s="362" t="s">
        <v>382</v>
      </c>
      <c r="P65" s="347" t="s">
        <v>383</v>
      </c>
      <c r="Q65" s="363">
        <v>65000000</v>
      </c>
      <c r="R65" s="129"/>
      <c r="S65" s="130"/>
      <c r="T65" s="130"/>
      <c r="U65" s="935">
        <f>+Q65-R65+S65-T65</f>
        <v>65000000</v>
      </c>
      <c r="V65" s="364" t="s">
        <v>384</v>
      </c>
      <c r="W65" s="377" t="s">
        <v>385</v>
      </c>
      <c r="X65" s="378" t="s">
        <v>67</v>
      </c>
      <c r="Y65" s="371">
        <v>13000</v>
      </c>
      <c r="Z65" s="371">
        <v>7000</v>
      </c>
      <c r="AA65" s="371">
        <v>9000</v>
      </c>
      <c r="AB65" s="371">
        <v>11000</v>
      </c>
      <c r="AC65" s="371">
        <v>0</v>
      </c>
      <c r="AD65" s="371">
        <v>0</v>
      </c>
      <c r="AE65" s="371">
        <v>100</v>
      </c>
      <c r="AF65" s="371">
        <v>150</v>
      </c>
      <c r="AG65" s="371">
        <v>0</v>
      </c>
      <c r="AH65" s="371">
        <v>0</v>
      </c>
      <c r="AI65" s="371">
        <v>0</v>
      </c>
      <c r="AJ65" s="371">
        <v>0</v>
      </c>
      <c r="AK65" s="371">
        <v>250</v>
      </c>
      <c r="AL65" s="371">
        <v>180</v>
      </c>
      <c r="AM65" s="371">
        <v>480</v>
      </c>
      <c r="AN65" s="371">
        <f>+Y65+Z65</f>
        <v>20000</v>
      </c>
      <c r="AO65" s="379">
        <v>45658</v>
      </c>
      <c r="AP65" s="379">
        <v>46022</v>
      </c>
      <c r="AQ65" s="352" t="s">
        <v>261</v>
      </c>
      <c r="AR65" s="8"/>
      <c r="AS65" s="8"/>
      <c r="AT65" s="8"/>
      <c r="AU65" s="8"/>
      <c r="AV65" s="8"/>
      <c r="AW65" s="8"/>
      <c r="AX65" s="8"/>
      <c r="AY65" s="8"/>
      <c r="AZ65" s="8"/>
      <c r="BA65" s="8"/>
      <c r="BB65" s="8"/>
      <c r="BC65" s="8"/>
      <c r="BD65" s="8"/>
      <c r="BE65" s="8"/>
      <c r="BF65" s="8"/>
    </row>
    <row r="66" spans="1:58" s="132" customFormat="1" ht="72">
      <c r="A66" s="366">
        <v>1</v>
      </c>
      <c r="B66" s="367" t="s">
        <v>272</v>
      </c>
      <c r="C66" s="368">
        <v>22</v>
      </c>
      <c r="D66" s="367" t="s">
        <v>378</v>
      </c>
      <c r="E66" s="366">
        <v>2201</v>
      </c>
      <c r="F66" s="380" t="s">
        <v>379</v>
      </c>
      <c r="G66" s="366">
        <v>2201068</v>
      </c>
      <c r="H66" s="367" t="s">
        <v>380</v>
      </c>
      <c r="I66" s="366">
        <v>220106800</v>
      </c>
      <c r="J66" s="367" t="s">
        <v>381</v>
      </c>
      <c r="K66" s="128">
        <v>66</v>
      </c>
      <c r="L66" s="128"/>
      <c r="M66" s="128">
        <f t="shared" si="7"/>
        <v>66</v>
      </c>
      <c r="N66" s="366">
        <v>2024003630095</v>
      </c>
      <c r="O66" s="362" t="s">
        <v>382</v>
      </c>
      <c r="P66" s="347" t="s">
        <v>386</v>
      </c>
      <c r="Q66" s="363">
        <v>5000000</v>
      </c>
      <c r="R66" s="129"/>
      <c r="S66" s="130"/>
      <c r="T66" s="130"/>
      <c r="U66" s="935">
        <f>+Q66-R66+S66-T66</f>
        <v>5000000</v>
      </c>
      <c r="V66" s="381" t="s">
        <v>384</v>
      </c>
      <c r="W66" s="382" t="s">
        <v>385</v>
      </c>
      <c r="X66" s="383" t="s">
        <v>67</v>
      </c>
      <c r="Y66" s="384">
        <v>13000</v>
      </c>
      <c r="Z66" s="384">
        <v>7000</v>
      </c>
      <c r="AA66" s="384">
        <v>9000</v>
      </c>
      <c r="AB66" s="384">
        <v>11000</v>
      </c>
      <c r="AC66" s="384">
        <v>0</v>
      </c>
      <c r="AD66" s="384">
        <v>0</v>
      </c>
      <c r="AE66" s="384">
        <v>100</v>
      </c>
      <c r="AF66" s="384">
        <v>150</v>
      </c>
      <c r="AG66" s="384">
        <v>0</v>
      </c>
      <c r="AH66" s="384">
        <v>0</v>
      </c>
      <c r="AI66" s="384">
        <v>0</v>
      </c>
      <c r="AJ66" s="384">
        <v>0</v>
      </c>
      <c r="AK66" s="384">
        <v>250</v>
      </c>
      <c r="AL66" s="384">
        <v>180</v>
      </c>
      <c r="AM66" s="384">
        <v>480</v>
      </c>
      <c r="AN66" s="384">
        <f t="shared" ref="AN66:AN97" si="8">+Y66+Z66</f>
        <v>20000</v>
      </c>
      <c r="AO66" s="372">
        <v>45658</v>
      </c>
      <c r="AP66" s="372">
        <v>46022</v>
      </c>
      <c r="AQ66" s="352" t="s">
        <v>261</v>
      </c>
      <c r="AR66" s="8"/>
      <c r="AS66" s="8"/>
      <c r="AT66" s="8"/>
      <c r="AU66" s="8"/>
      <c r="AV66" s="8"/>
      <c r="AW66" s="8"/>
      <c r="AX66" s="8"/>
      <c r="AY66" s="8"/>
      <c r="AZ66" s="8"/>
      <c r="BA66" s="8"/>
      <c r="BB66" s="8"/>
      <c r="BC66" s="8"/>
      <c r="BD66" s="8"/>
      <c r="BE66" s="8"/>
      <c r="BF66" s="8"/>
    </row>
    <row r="67" spans="1:58" s="45" customFormat="1" ht="158.44999999999999" customHeight="1">
      <c r="A67" s="385">
        <v>2</v>
      </c>
      <c r="B67" s="355" t="s">
        <v>387</v>
      </c>
      <c r="C67" s="355">
        <v>32</v>
      </c>
      <c r="D67" s="362" t="s">
        <v>388</v>
      </c>
      <c r="E67" s="355">
        <v>3205</v>
      </c>
      <c r="F67" s="362" t="s">
        <v>389</v>
      </c>
      <c r="G67" s="355">
        <v>3205001</v>
      </c>
      <c r="H67" s="355" t="s">
        <v>390</v>
      </c>
      <c r="I67" s="327">
        <v>320500100</v>
      </c>
      <c r="J67" s="355" t="s">
        <v>391</v>
      </c>
      <c r="K67" s="358">
        <v>4</v>
      </c>
      <c r="L67" s="358">
        <v>0.1</v>
      </c>
      <c r="M67" s="358">
        <f t="shared" si="7"/>
        <v>4.0999999999999996</v>
      </c>
      <c r="N67" s="327">
        <v>2024003630132</v>
      </c>
      <c r="O67" s="386" t="s">
        <v>392</v>
      </c>
      <c r="P67" s="347" t="s">
        <v>393</v>
      </c>
      <c r="Q67" s="387">
        <v>42000000</v>
      </c>
      <c r="R67" s="388"/>
      <c r="S67" s="388"/>
      <c r="T67" s="388"/>
      <c r="U67" s="936">
        <f>+Q67-R67+S67-T67</f>
        <v>42000000</v>
      </c>
      <c r="V67" s="389" t="s">
        <v>394</v>
      </c>
      <c r="W67" s="377" t="s">
        <v>385</v>
      </c>
      <c r="X67" s="378" t="s">
        <v>67</v>
      </c>
      <c r="Y67" s="371">
        <v>295620</v>
      </c>
      <c r="Z67" s="371">
        <v>275208</v>
      </c>
      <c r="AA67" s="371">
        <v>98015</v>
      </c>
      <c r="AB67" s="371">
        <v>35274</v>
      </c>
      <c r="AC67" s="371">
        <v>314419</v>
      </c>
      <c r="AD67" s="371">
        <v>123120</v>
      </c>
      <c r="AE67" s="371">
        <v>2834</v>
      </c>
      <c r="AF67" s="371">
        <v>5990</v>
      </c>
      <c r="AG67" s="371">
        <v>21</v>
      </c>
      <c r="AH67" s="371">
        <v>6</v>
      </c>
      <c r="AI67" s="371">
        <v>564709</v>
      </c>
      <c r="AJ67" s="371">
        <v>2</v>
      </c>
      <c r="AK67" s="371">
        <v>222</v>
      </c>
      <c r="AL67" s="371">
        <v>25772</v>
      </c>
      <c r="AM67" s="371">
        <v>279</v>
      </c>
      <c r="AN67" s="371">
        <f t="shared" si="8"/>
        <v>570828</v>
      </c>
      <c r="AO67" s="372">
        <v>45658</v>
      </c>
      <c r="AP67" s="372">
        <v>46022</v>
      </c>
      <c r="AQ67" s="352" t="s">
        <v>261</v>
      </c>
    </row>
    <row r="68" spans="1:58" s="45" customFormat="1" ht="158.44999999999999" customHeight="1">
      <c r="A68" s="385">
        <v>2</v>
      </c>
      <c r="B68" s="355" t="s">
        <v>387</v>
      </c>
      <c r="C68" s="355">
        <v>32</v>
      </c>
      <c r="D68" s="362" t="s">
        <v>388</v>
      </c>
      <c r="E68" s="355">
        <v>3205</v>
      </c>
      <c r="F68" s="362" t="s">
        <v>389</v>
      </c>
      <c r="G68" s="355">
        <v>3205002</v>
      </c>
      <c r="H68" s="327" t="s">
        <v>395</v>
      </c>
      <c r="I68" s="327">
        <v>320500200</v>
      </c>
      <c r="J68" s="311" t="s">
        <v>396</v>
      </c>
      <c r="K68" s="358">
        <v>3</v>
      </c>
      <c r="L68" s="358"/>
      <c r="M68" s="358">
        <v>3</v>
      </c>
      <c r="N68" s="327">
        <v>2024003630132</v>
      </c>
      <c r="O68" s="386" t="s">
        <v>392</v>
      </c>
      <c r="P68" s="347" t="s">
        <v>397</v>
      </c>
      <c r="Q68" s="363">
        <v>82000000</v>
      </c>
      <c r="R68" s="388">
        <f>6150000+1800000</f>
        <v>7950000</v>
      </c>
      <c r="S68" s="388"/>
      <c r="T68" s="388"/>
      <c r="U68" s="936">
        <f>+Q68-R68+S68-T68</f>
        <v>74050000</v>
      </c>
      <c r="V68" s="360" t="s">
        <v>398</v>
      </c>
      <c r="W68" s="377" t="s">
        <v>385</v>
      </c>
      <c r="X68" s="378" t="s">
        <v>67</v>
      </c>
      <c r="Y68" s="371">
        <v>295620</v>
      </c>
      <c r="Z68" s="371">
        <v>275208</v>
      </c>
      <c r="AA68" s="371">
        <v>98015</v>
      </c>
      <c r="AB68" s="371">
        <v>35274</v>
      </c>
      <c r="AC68" s="371">
        <v>314419</v>
      </c>
      <c r="AD68" s="371">
        <v>123120</v>
      </c>
      <c r="AE68" s="371">
        <v>2834</v>
      </c>
      <c r="AF68" s="371">
        <v>5990</v>
      </c>
      <c r="AG68" s="371">
        <v>21</v>
      </c>
      <c r="AH68" s="371">
        <v>6</v>
      </c>
      <c r="AI68" s="371">
        <v>564709</v>
      </c>
      <c r="AJ68" s="371">
        <v>2</v>
      </c>
      <c r="AK68" s="371">
        <v>222</v>
      </c>
      <c r="AL68" s="371">
        <v>25772</v>
      </c>
      <c r="AM68" s="371">
        <v>279</v>
      </c>
      <c r="AN68" s="371">
        <f t="shared" si="8"/>
        <v>570828</v>
      </c>
      <c r="AO68" s="372">
        <v>45658</v>
      </c>
      <c r="AP68" s="372">
        <v>46022</v>
      </c>
      <c r="AQ68" s="352" t="s">
        <v>261</v>
      </c>
    </row>
    <row r="69" spans="1:58" s="45" customFormat="1" ht="158.44999999999999" customHeight="1">
      <c r="A69" s="385">
        <v>2</v>
      </c>
      <c r="B69" s="355" t="s">
        <v>387</v>
      </c>
      <c r="C69" s="355">
        <v>32</v>
      </c>
      <c r="D69" s="362" t="s">
        <v>388</v>
      </c>
      <c r="E69" s="355">
        <v>3205</v>
      </c>
      <c r="F69" s="362" t="s">
        <v>389</v>
      </c>
      <c r="G69" s="355">
        <v>3205002</v>
      </c>
      <c r="H69" s="327" t="s">
        <v>395</v>
      </c>
      <c r="I69" s="327">
        <v>320500200</v>
      </c>
      <c r="J69" s="311" t="s">
        <v>396</v>
      </c>
      <c r="K69" s="358">
        <v>3</v>
      </c>
      <c r="L69" s="358"/>
      <c r="M69" s="358">
        <v>3</v>
      </c>
      <c r="N69" s="327">
        <v>2024003630132</v>
      </c>
      <c r="O69" s="386" t="s">
        <v>392</v>
      </c>
      <c r="P69" s="347" t="s">
        <v>399</v>
      </c>
      <c r="Q69" s="363">
        <v>20000000</v>
      </c>
      <c r="R69" s="388">
        <v>5200000</v>
      </c>
      <c r="S69" s="388"/>
      <c r="T69" s="388"/>
      <c r="U69" s="936">
        <f>+Q69-R69+S69-T69</f>
        <v>14800000</v>
      </c>
      <c r="V69" s="360" t="s">
        <v>398</v>
      </c>
      <c r="W69" s="377" t="s">
        <v>385</v>
      </c>
      <c r="X69" s="378" t="s">
        <v>67</v>
      </c>
      <c r="Y69" s="371">
        <v>295620</v>
      </c>
      <c r="Z69" s="371">
        <v>275208</v>
      </c>
      <c r="AA69" s="371">
        <v>98015</v>
      </c>
      <c r="AB69" s="371">
        <v>35274</v>
      </c>
      <c r="AC69" s="371">
        <v>314419</v>
      </c>
      <c r="AD69" s="371">
        <v>123120</v>
      </c>
      <c r="AE69" s="371">
        <v>2834</v>
      </c>
      <c r="AF69" s="371">
        <v>5990</v>
      </c>
      <c r="AG69" s="371">
        <v>21</v>
      </c>
      <c r="AH69" s="371">
        <v>6</v>
      </c>
      <c r="AI69" s="371">
        <v>564709</v>
      </c>
      <c r="AJ69" s="371">
        <v>2</v>
      </c>
      <c r="AK69" s="371">
        <v>222</v>
      </c>
      <c r="AL69" s="371">
        <v>25772</v>
      </c>
      <c r="AM69" s="371">
        <v>279</v>
      </c>
      <c r="AN69" s="371">
        <f t="shared" si="8"/>
        <v>570828</v>
      </c>
      <c r="AO69" s="372">
        <v>45658</v>
      </c>
      <c r="AP69" s="372">
        <v>46022</v>
      </c>
      <c r="AQ69" s="352" t="s">
        <v>261</v>
      </c>
    </row>
    <row r="70" spans="1:58" s="45" customFormat="1" ht="158.44999999999999" customHeight="1">
      <c r="A70" s="385">
        <v>2</v>
      </c>
      <c r="B70" s="355" t="s">
        <v>387</v>
      </c>
      <c r="C70" s="355">
        <v>32</v>
      </c>
      <c r="D70" s="362" t="s">
        <v>388</v>
      </c>
      <c r="E70" s="355">
        <v>3205</v>
      </c>
      <c r="F70" s="362" t="s">
        <v>389</v>
      </c>
      <c r="G70" s="355">
        <v>3205002</v>
      </c>
      <c r="H70" s="327" t="s">
        <v>395</v>
      </c>
      <c r="I70" s="327">
        <v>320500200</v>
      </c>
      <c r="J70" s="311" t="s">
        <v>396</v>
      </c>
      <c r="K70" s="358">
        <v>3</v>
      </c>
      <c r="L70" s="358"/>
      <c r="M70" s="358">
        <v>3</v>
      </c>
      <c r="N70" s="327">
        <v>2024003630132</v>
      </c>
      <c r="O70" s="386" t="s">
        <v>392</v>
      </c>
      <c r="P70" s="46" t="s">
        <v>400</v>
      </c>
      <c r="Q70" s="363">
        <v>40000000</v>
      </c>
      <c r="R70" s="388">
        <v>4150000</v>
      </c>
      <c r="S70" s="388"/>
      <c r="T70" s="388"/>
      <c r="U70" s="936">
        <f>+Q70-R70+S70-T70</f>
        <v>35850000</v>
      </c>
      <c r="V70" s="360" t="s">
        <v>398</v>
      </c>
      <c r="W70" s="377" t="s">
        <v>385</v>
      </c>
      <c r="X70" s="378" t="s">
        <v>67</v>
      </c>
      <c r="Y70" s="371">
        <v>295620</v>
      </c>
      <c r="Z70" s="371">
        <v>275208</v>
      </c>
      <c r="AA70" s="371">
        <v>98015</v>
      </c>
      <c r="AB70" s="371">
        <v>35274</v>
      </c>
      <c r="AC70" s="371">
        <v>314419</v>
      </c>
      <c r="AD70" s="371">
        <v>123120</v>
      </c>
      <c r="AE70" s="371">
        <v>2834</v>
      </c>
      <c r="AF70" s="371">
        <v>5990</v>
      </c>
      <c r="AG70" s="371">
        <v>21</v>
      </c>
      <c r="AH70" s="371">
        <v>6</v>
      </c>
      <c r="AI70" s="371">
        <v>564709</v>
      </c>
      <c r="AJ70" s="371">
        <v>2</v>
      </c>
      <c r="AK70" s="371">
        <v>222</v>
      </c>
      <c r="AL70" s="371">
        <v>25772</v>
      </c>
      <c r="AM70" s="371">
        <v>279</v>
      </c>
      <c r="AN70" s="371">
        <f t="shared" si="8"/>
        <v>570828</v>
      </c>
      <c r="AO70" s="372">
        <v>45658</v>
      </c>
      <c r="AP70" s="372">
        <v>46022</v>
      </c>
      <c r="AQ70" s="352" t="s">
        <v>261</v>
      </c>
    </row>
    <row r="71" spans="1:58" s="45" customFormat="1" ht="60">
      <c r="A71" s="390">
        <v>4</v>
      </c>
      <c r="B71" s="391" t="s">
        <v>253</v>
      </c>
      <c r="C71" s="392">
        <v>12</v>
      </c>
      <c r="D71" s="393" t="s">
        <v>401</v>
      </c>
      <c r="E71" s="394">
        <v>1202</v>
      </c>
      <c r="F71" s="393" t="s">
        <v>402</v>
      </c>
      <c r="G71" s="394" t="s">
        <v>403</v>
      </c>
      <c r="H71" s="393" t="s">
        <v>404</v>
      </c>
      <c r="I71" s="394">
        <v>120200400</v>
      </c>
      <c r="J71" s="393" t="s">
        <v>405</v>
      </c>
      <c r="K71" s="395">
        <v>12</v>
      </c>
      <c r="L71" s="395"/>
      <c r="M71" s="395">
        <f t="shared" ref="M71:M82" si="9">+K71+L71</f>
        <v>12</v>
      </c>
      <c r="N71" s="341">
        <v>2024003630078</v>
      </c>
      <c r="O71" s="393" t="s">
        <v>406</v>
      </c>
      <c r="P71" s="347" t="s">
        <v>407</v>
      </c>
      <c r="Q71" s="396">
        <v>37000000</v>
      </c>
      <c r="R71" s="397">
        <f>6000000</f>
        <v>6000000</v>
      </c>
      <c r="S71" s="397"/>
      <c r="T71" s="397"/>
      <c r="U71" s="936">
        <f>+Q71-R71+S71-T71</f>
        <v>31000000</v>
      </c>
      <c r="V71" s="349" t="s">
        <v>408</v>
      </c>
      <c r="W71" s="394" t="s">
        <v>385</v>
      </c>
      <c r="X71" s="398" t="s">
        <v>67</v>
      </c>
      <c r="Y71" s="350">
        <v>225600</v>
      </c>
      <c r="Z71" s="350">
        <v>218320</v>
      </c>
      <c r="AA71" s="350">
        <v>70145</v>
      </c>
      <c r="AB71" s="350">
        <v>40590</v>
      </c>
      <c r="AC71" s="350">
        <v>240450</v>
      </c>
      <c r="AD71" s="350">
        <v>92735</v>
      </c>
      <c r="AE71" s="350">
        <v>7560</v>
      </c>
      <c r="AF71" s="350">
        <v>9926</v>
      </c>
      <c r="AG71" s="351">
        <v>100</v>
      </c>
      <c r="AH71" s="351">
        <v>50</v>
      </c>
      <c r="AI71" s="371">
        <v>320000</v>
      </c>
      <c r="AJ71" s="351"/>
      <c r="AK71" s="350">
        <v>42160</v>
      </c>
      <c r="AL71" s="350">
        <v>23270</v>
      </c>
      <c r="AM71" s="350">
        <v>40854</v>
      </c>
      <c r="AN71" s="350">
        <f t="shared" si="8"/>
        <v>443920</v>
      </c>
      <c r="AO71" s="372">
        <v>45658</v>
      </c>
      <c r="AP71" s="372">
        <v>46022</v>
      </c>
      <c r="AQ71" s="352" t="s">
        <v>261</v>
      </c>
    </row>
    <row r="72" spans="1:58" s="45" customFormat="1" ht="60">
      <c r="A72" s="390">
        <v>4</v>
      </c>
      <c r="B72" s="391" t="s">
        <v>253</v>
      </c>
      <c r="C72" s="392">
        <v>12</v>
      </c>
      <c r="D72" s="393" t="s">
        <v>401</v>
      </c>
      <c r="E72" s="394">
        <v>1202</v>
      </c>
      <c r="F72" s="393" t="s">
        <v>402</v>
      </c>
      <c r="G72" s="394" t="s">
        <v>403</v>
      </c>
      <c r="H72" s="393" t="s">
        <v>404</v>
      </c>
      <c r="I72" s="394">
        <v>120200400</v>
      </c>
      <c r="J72" s="393" t="s">
        <v>405</v>
      </c>
      <c r="K72" s="395">
        <v>12</v>
      </c>
      <c r="L72" s="395"/>
      <c r="M72" s="395">
        <f t="shared" si="9"/>
        <v>12</v>
      </c>
      <c r="N72" s="341">
        <v>2024003630078</v>
      </c>
      <c r="O72" s="393" t="s">
        <v>406</v>
      </c>
      <c r="P72" s="347" t="s">
        <v>409</v>
      </c>
      <c r="Q72" s="396">
        <v>15000000</v>
      </c>
      <c r="R72" s="397">
        <f>3000000</f>
        <v>3000000</v>
      </c>
      <c r="S72" s="397"/>
      <c r="T72" s="397"/>
      <c r="U72" s="936">
        <f>+Q72-R72+S72-T72</f>
        <v>12000000</v>
      </c>
      <c r="V72" s="353" t="s">
        <v>408</v>
      </c>
      <c r="W72" s="394" t="s">
        <v>385</v>
      </c>
      <c r="X72" s="398" t="s">
        <v>67</v>
      </c>
      <c r="Y72" s="350">
        <v>225600</v>
      </c>
      <c r="Z72" s="350">
        <v>218320</v>
      </c>
      <c r="AA72" s="350">
        <v>70145</v>
      </c>
      <c r="AB72" s="350">
        <v>40590</v>
      </c>
      <c r="AC72" s="350">
        <v>240450</v>
      </c>
      <c r="AD72" s="350">
        <v>92735</v>
      </c>
      <c r="AE72" s="350">
        <v>7560</v>
      </c>
      <c r="AF72" s="350">
        <v>9926</v>
      </c>
      <c r="AG72" s="351">
        <v>100</v>
      </c>
      <c r="AH72" s="351">
        <v>50</v>
      </c>
      <c r="AI72" s="371">
        <v>320000</v>
      </c>
      <c r="AJ72" s="351"/>
      <c r="AK72" s="350">
        <v>42160</v>
      </c>
      <c r="AL72" s="350">
        <v>23270</v>
      </c>
      <c r="AM72" s="350">
        <v>40854</v>
      </c>
      <c r="AN72" s="350">
        <f t="shared" si="8"/>
        <v>443920</v>
      </c>
      <c r="AO72" s="372">
        <v>45658</v>
      </c>
      <c r="AP72" s="372">
        <v>46022</v>
      </c>
      <c r="AQ72" s="352" t="s">
        <v>261</v>
      </c>
    </row>
    <row r="73" spans="1:58" s="45" customFormat="1" ht="84" customHeight="1">
      <c r="A73" s="390">
        <v>4</v>
      </c>
      <c r="B73" s="391" t="s">
        <v>253</v>
      </c>
      <c r="C73" s="392">
        <v>12</v>
      </c>
      <c r="D73" s="393" t="s">
        <v>401</v>
      </c>
      <c r="E73" s="394">
        <v>1202</v>
      </c>
      <c r="F73" s="393" t="s">
        <v>402</v>
      </c>
      <c r="G73" s="394" t="s">
        <v>403</v>
      </c>
      <c r="H73" s="393" t="s">
        <v>404</v>
      </c>
      <c r="I73" s="394">
        <v>120200400</v>
      </c>
      <c r="J73" s="393" t="s">
        <v>405</v>
      </c>
      <c r="K73" s="395">
        <v>12</v>
      </c>
      <c r="L73" s="395"/>
      <c r="M73" s="395">
        <f t="shared" si="9"/>
        <v>12</v>
      </c>
      <c r="N73" s="341">
        <v>2024003630078</v>
      </c>
      <c r="O73" s="393" t="s">
        <v>406</v>
      </c>
      <c r="P73" s="46" t="s">
        <v>410</v>
      </c>
      <c r="Q73" s="396">
        <v>1000000</v>
      </c>
      <c r="R73" s="397"/>
      <c r="S73" s="397"/>
      <c r="T73" s="397"/>
      <c r="U73" s="936">
        <f>+Q73-R73+S73-T73</f>
        <v>1000000</v>
      </c>
      <c r="V73" s="353" t="s">
        <v>411</v>
      </c>
      <c r="W73" s="394" t="s">
        <v>385</v>
      </c>
      <c r="X73" s="398" t="s">
        <v>67</v>
      </c>
      <c r="Y73" s="350">
        <v>225600</v>
      </c>
      <c r="Z73" s="350">
        <v>218320</v>
      </c>
      <c r="AA73" s="350">
        <v>70145</v>
      </c>
      <c r="AB73" s="350">
        <v>40590</v>
      </c>
      <c r="AC73" s="350">
        <v>240450</v>
      </c>
      <c r="AD73" s="350">
        <v>92735</v>
      </c>
      <c r="AE73" s="350">
        <v>7560</v>
      </c>
      <c r="AF73" s="350">
        <v>9926</v>
      </c>
      <c r="AG73" s="351">
        <v>100</v>
      </c>
      <c r="AH73" s="351">
        <v>50</v>
      </c>
      <c r="AI73" s="371">
        <v>320000</v>
      </c>
      <c r="AJ73" s="351"/>
      <c r="AK73" s="350">
        <v>42160</v>
      </c>
      <c r="AL73" s="350">
        <v>23270</v>
      </c>
      <c r="AM73" s="350">
        <v>40854</v>
      </c>
      <c r="AN73" s="350">
        <f t="shared" si="8"/>
        <v>443920</v>
      </c>
      <c r="AO73" s="372">
        <v>45658</v>
      </c>
      <c r="AP73" s="372">
        <v>46022</v>
      </c>
      <c r="AQ73" s="352" t="s">
        <v>261</v>
      </c>
    </row>
    <row r="74" spans="1:58" s="45" customFormat="1" ht="80.099999999999994" customHeight="1">
      <c r="A74" s="390">
        <v>4</v>
      </c>
      <c r="B74" s="391" t="s">
        <v>253</v>
      </c>
      <c r="C74" s="392">
        <v>12</v>
      </c>
      <c r="D74" s="393" t="s">
        <v>401</v>
      </c>
      <c r="E74" s="394">
        <v>1202</v>
      </c>
      <c r="F74" s="393" t="s">
        <v>402</v>
      </c>
      <c r="G74" s="394" t="s">
        <v>403</v>
      </c>
      <c r="H74" s="393" t="s">
        <v>404</v>
      </c>
      <c r="I74" s="394">
        <v>120200400</v>
      </c>
      <c r="J74" s="393" t="s">
        <v>405</v>
      </c>
      <c r="K74" s="395">
        <v>12</v>
      </c>
      <c r="L74" s="395"/>
      <c r="M74" s="395">
        <f t="shared" si="9"/>
        <v>12</v>
      </c>
      <c r="N74" s="341">
        <v>2024003630078</v>
      </c>
      <c r="O74" s="393" t="s">
        <v>406</v>
      </c>
      <c r="P74" s="46" t="s">
        <v>412</v>
      </c>
      <c r="Q74" s="396">
        <v>2000000</v>
      </c>
      <c r="R74" s="397"/>
      <c r="S74" s="397"/>
      <c r="T74" s="397"/>
      <c r="U74" s="936">
        <f>+Q74-R74+S74-T74</f>
        <v>2000000</v>
      </c>
      <c r="V74" s="353" t="s">
        <v>413</v>
      </c>
      <c r="W74" s="394" t="s">
        <v>385</v>
      </c>
      <c r="X74" s="398" t="s">
        <v>67</v>
      </c>
      <c r="Y74" s="350">
        <v>225600</v>
      </c>
      <c r="Z74" s="350">
        <v>218320</v>
      </c>
      <c r="AA74" s="350">
        <v>70145</v>
      </c>
      <c r="AB74" s="350">
        <v>40590</v>
      </c>
      <c r="AC74" s="350">
        <v>240450</v>
      </c>
      <c r="AD74" s="350">
        <v>92735</v>
      </c>
      <c r="AE74" s="350">
        <v>7560</v>
      </c>
      <c r="AF74" s="350">
        <v>9926</v>
      </c>
      <c r="AG74" s="351">
        <v>100</v>
      </c>
      <c r="AH74" s="351">
        <v>50</v>
      </c>
      <c r="AI74" s="371">
        <v>320000</v>
      </c>
      <c r="AJ74" s="351"/>
      <c r="AK74" s="350">
        <v>42160</v>
      </c>
      <c r="AL74" s="350">
        <v>23270</v>
      </c>
      <c r="AM74" s="350">
        <v>40854</v>
      </c>
      <c r="AN74" s="350">
        <f t="shared" si="8"/>
        <v>443920</v>
      </c>
      <c r="AO74" s="372">
        <v>45658</v>
      </c>
      <c r="AP74" s="372">
        <v>46022</v>
      </c>
      <c r="AQ74" s="352" t="s">
        <v>261</v>
      </c>
    </row>
    <row r="75" spans="1:58" s="45" customFormat="1" ht="96.6" customHeight="1">
      <c r="A75" s="390">
        <v>4</v>
      </c>
      <c r="B75" s="391" t="s">
        <v>253</v>
      </c>
      <c r="C75" s="392">
        <v>12</v>
      </c>
      <c r="D75" s="393" t="s">
        <v>401</v>
      </c>
      <c r="E75" s="394">
        <v>1202</v>
      </c>
      <c r="F75" s="393" t="s">
        <v>402</v>
      </c>
      <c r="G75" s="394" t="s">
        <v>403</v>
      </c>
      <c r="H75" s="393" t="s">
        <v>404</v>
      </c>
      <c r="I75" s="394">
        <v>120200400</v>
      </c>
      <c r="J75" s="393" t="s">
        <v>405</v>
      </c>
      <c r="K75" s="395">
        <v>12</v>
      </c>
      <c r="L75" s="395"/>
      <c r="M75" s="395">
        <f t="shared" si="9"/>
        <v>12</v>
      </c>
      <c r="N75" s="341">
        <v>2024003630078</v>
      </c>
      <c r="O75" s="393" t="s">
        <v>406</v>
      </c>
      <c r="P75" s="46" t="s">
        <v>414</v>
      </c>
      <c r="Q75" s="396">
        <v>34000000</v>
      </c>
      <c r="R75" s="397">
        <f>1800000</f>
        <v>1800000</v>
      </c>
      <c r="S75" s="397"/>
      <c r="T75" s="397"/>
      <c r="U75" s="936">
        <f>+Q75-R75+S75-T75</f>
        <v>32200000</v>
      </c>
      <c r="V75" s="353" t="s">
        <v>408</v>
      </c>
      <c r="W75" s="394" t="s">
        <v>385</v>
      </c>
      <c r="X75" s="398" t="s">
        <v>67</v>
      </c>
      <c r="Y75" s="350">
        <v>225600</v>
      </c>
      <c r="Z75" s="350">
        <v>218320</v>
      </c>
      <c r="AA75" s="350">
        <v>70145</v>
      </c>
      <c r="AB75" s="350">
        <v>40590</v>
      </c>
      <c r="AC75" s="350">
        <v>240450</v>
      </c>
      <c r="AD75" s="350">
        <v>92735</v>
      </c>
      <c r="AE75" s="350">
        <v>7560</v>
      </c>
      <c r="AF75" s="350">
        <v>9926</v>
      </c>
      <c r="AG75" s="351">
        <v>100</v>
      </c>
      <c r="AH75" s="351">
        <v>50</v>
      </c>
      <c r="AI75" s="371">
        <v>320000</v>
      </c>
      <c r="AJ75" s="351"/>
      <c r="AK75" s="350">
        <v>42160</v>
      </c>
      <c r="AL75" s="350">
        <v>23270</v>
      </c>
      <c r="AM75" s="350">
        <v>40854</v>
      </c>
      <c r="AN75" s="350">
        <f t="shared" si="8"/>
        <v>443920</v>
      </c>
      <c r="AO75" s="372">
        <v>45658</v>
      </c>
      <c r="AP75" s="372">
        <v>46022</v>
      </c>
      <c r="AQ75" s="352" t="s">
        <v>261</v>
      </c>
    </row>
    <row r="76" spans="1:58" s="45" customFormat="1" ht="74.099999999999994" customHeight="1">
      <c r="A76" s="390">
        <v>4</v>
      </c>
      <c r="B76" s="391" t="s">
        <v>253</v>
      </c>
      <c r="C76" s="392">
        <v>12</v>
      </c>
      <c r="D76" s="393" t="s">
        <v>401</v>
      </c>
      <c r="E76" s="394">
        <v>1202</v>
      </c>
      <c r="F76" s="393" t="s">
        <v>402</v>
      </c>
      <c r="G76" s="394" t="s">
        <v>403</v>
      </c>
      <c r="H76" s="393" t="s">
        <v>404</v>
      </c>
      <c r="I76" s="394">
        <v>120200400</v>
      </c>
      <c r="J76" s="393" t="s">
        <v>405</v>
      </c>
      <c r="K76" s="395">
        <v>12</v>
      </c>
      <c r="L76" s="395"/>
      <c r="M76" s="395">
        <f t="shared" si="9"/>
        <v>12</v>
      </c>
      <c r="N76" s="341">
        <v>2024003630078</v>
      </c>
      <c r="O76" s="393" t="s">
        <v>406</v>
      </c>
      <c r="P76" s="46" t="s">
        <v>415</v>
      </c>
      <c r="Q76" s="396">
        <v>20000000</v>
      </c>
      <c r="R76" s="397">
        <f>4000000</f>
        <v>4000000</v>
      </c>
      <c r="S76" s="397"/>
      <c r="T76" s="397"/>
      <c r="U76" s="936">
        <f>+Q76-R76+S76-T76</f>
        <v>16000000</v>
      </c>
      <c r="V76" s="353" t="s">
        <v>408</v>
      </c>
      <c r="W76" s="394" t="s">
        <v>385</v>
      </c>
      <c r="X76" s="398" t="s">
        <v>67</v>
      </c>
      <c r="Y76" s="350">
        <v>225600</v>
      </c>
      <c r="Z76" s="350">
        <v>218320</v>
      </c>
      <c r="AA76" s="350">
        <v>70145</v>
      </c>
      <c r="AB76" s="350">
        <v>40590</v>
      </c>
      <c r="AC76" s="350">
        <v>240450</v>
      </c>
      <c r="AD76" s="350">
        <v>92735</v>
      </c>
      <c r="AE76" s="350">
        <v>7560</v>
      </c>
      <c r="AF76" s="350">
        <v>9926</v>
      </c>
      <c r="AG76" s="351">
        <v>100</v>
      </c>
      <c r="AH76" s="351">
        <v>50</v>
      </c>
      <c r="AI76" s="371">
        <v>320000</v>
      </c>
      <c r="AJ76" s="351"/>
      <c r="AK76" s="350">
        <v>42160</v>
      </c>
      <c r="AL76" s="350">
        <v>23270</v>
      </c>
      <c r="AM76" s="350">
        <v>40854</v>
      </c>
      <c r="AN76" s="350">
        <f t="shared" si="8"/>
        <v>443920</v>
      </c>
      <c r="AO76" s="372">
        <v>45658</v>
      </c>
      <c r="AP76" s="372">
        <v>46022</v>
      </c>
      <c r="AQ76" s="352" t="s">
        <v>261</v>
      </c>
    </row>
    <row r="77" spans="1:58" s="45" customFormat="1" ht="60">
      <c r="A77" s="399">
        <v>4</v>
      </c>
      <c r="B77" s="400" t="s">
        <v>253</v>
      </c>
      <c r="C77" s="401">
        <v>45</v>
      </c>
      <c r="D77" s="362" t="s">
        <v>254</v>
      </c>
      <c r="E77" s="377">
        <v>4501</v>
      </c>
      <c r="F77" s="362" t="s">
        <v>416</v>
      </c>
      <c r="G77" s="377" t="s">
        <v>417</v>
      </c>
      <c r="H77" s="362" t="s">
        <v>162</v>
      </c>
      <c r="I77" s="377">
        <v>450100100</v>
      </c>
      <c r="J77" s="362" t="s">
        <v>418</v>
      </c>
      <c r="K77" s="358">
        <v>12</v>
      </c>
      <c r="L77" s="358"/>
      <c r="M77" s="358">
        <f t="shared" si="9"/>
        <v>12</v>
      </c>
      <c r="N77" s="327">
        <v>2024003630081</v>
      </c>
      <c r="O77" s="362" t="s">
        <v>419</v>
      </c>
      <c r="P77" s="347" t="s">
        <v>420</v>
      </c>
      <c r="Q77" s="402">
        <v>45000000</v>
      </c>
      <c r="R77" s="397"/>
      <c r="S77" s="397"/>
      <c r="T77" s="397"/>
      <c r="U77" s="936">
        <f>+Q77-R77+S77-T77</f>
        <v>45000000</v>
      </c>
      <c r="V77" s="403" t="s">
        <v>421</v>
      </c>
      <c r="W77" s="404">
        <v>20</v>
      </c>
      <c r="X77" s="378" t="s">
        <v>67</v>
      </c>
      <c r="Y77" s="371">
        <v>150313</v>
      </c>
      <c r="Z77" s="371">
        <v>183921</v>
      </c>
      <c r="AA77" s="371">
        <v>75843</v>
      </c>
      <c r="AB77" s="371">
        <v>26797</v>
      </c>
      <c r="AC77" s="371">
        <v>145930</v>
      </c>
      <c r="AD77" s="371">
        <v>85664</v>
      </c>
      <c r="AE77" s="371">
        <v>7000</v>
      </c>
      <c r="AF77" s="371">
        <v>9703</v>
      </c>
      <c r="AG77" s="371">
        <v>50</v>
      </c>
      <c r="AH77" s="371">
        <v>15</v>
      </c>
      <c r="AI77" s="371">
        <v>220000</v>
      </c>
      <c r="AJ77" s="371">
        <v>100</v>
      </c>
      <c r="AK77" s="371">
        <v>36662</v>
      </c>
      <c r="AL77" s="371">
        <v>19988</v>
      </c>
      <c r="AM77" s="371">
        <v>40716</v>
      </c>
      <c r="AN77" s="371">
        <f t="shared" si="8"/>
        <v>334234</v>
      </c>
      <c r="AO77" s="372">
        <v>45658</v>
      </c>
      <c r="AP77" s="372">
        <v>46022</v>
      </c>
      <c r="AQ77" s="352" t="s">
        <v>261</v>
      </c>
    </row>
    <row r="78" spans="1:58" s="45" customFormat="1" ht="60">
      <c r="A78" s="399">
        <v>4</v>
      </c>
      <c r="B78" s="400" t="s">
        <v>253</v>
      </c>
      <c r="C78" s="401">
        <v>45</v>
      </c>
      <c r="D78" s="362" t="s">
        <v>254</v>
      </c>
      <c r="E78" s="377">
        <v>4501</v>
      </c>
      <c r="F78" s="362" t="s">
        <v>416</v>
      </c>
      <c r="G78" s="377" t="s">
        <v>417</v>
      </c>
      <c r="H78" s="362" t="s">
        <v>162</v>
      </c>
      <c r="I78" s="377">
        <v>450100100</v>
      </c>
      <c r="J78" s="362" t="s">
        <v>418</v>
      </c>
      <c r="K78" s="358">
        <v>12</v>
      </c>
      <c r="L78" s="358"/>
      <c r="M78" s="358">
        <f t="shared" si="9"/>
        <v>12</v>
      </c>
      <c r="N78" s="327">
        <v>2024003630081</v>
      </c>
      <c r="O78" s="362" t="s">
        <v>419</v>
      </c>
      <c r="P78" s="46" t="s">
        <v>422</v>
      </c>
      <c r="Q78" s="402">
        <v>20000000</v>
      </c>
      <c r="R78" s="397"/>
      <c r="S78" s="397"/>
      <c r="T78" s="397"/>
      <c r="U78" s="936">
        <f>+Q78-R78+S78-T78</f>
        <v>20000000</v>
      </c>
      <c r="V78" s="403" t="s">
        <v>421</v>
      </c>
      <c r="W78" s="404">
        <v>20</v>
      </c>
      <c r="X78" s="378" t="s">
        <v>67</v>
      </c>
      <c r="Y78" s="371">
        <v>150313</v>
      </c>
      <c r="Z78" s="371">
        <v>183921</v>
      </c>
      <c r="AA78" s="371">
        <v>75843</v>
      </c>
      <c r="AB78" s="371">
        <v>26797</v>
      </c>
      <c r="AC78" s="371">
        <v>145930</v>
      </c>
      <c r="AD78" s="371">
        <v>85664</v>
      </c>
      <c r="AE78" s="371">
        <v>7000</v>
      </c>
      <c r="AF78" s="371">
        <v>9703</v>
      </c>
      <c r="AG78" s="371">
        <v>50</v>
      </c>
      <c r="AH78" s="371">
        <v>15</v>
      </c>
      <c r="AI78" s="371">
        <v>220000</v>
      </c>
      <c r="AJ78" s="371">
        <v>100</v>
      </c>
      <c r="AK78" s="371">
        <v>36662</v>
      </c>
      <c r="AL78" s="371">
        <v>19988</v>
      </c>
      <c r="AM78" s="371">
        <v>40716</v>
      </c>
      <c r="AN78" s="371">
        <f t="shared" si="8"/>
        <v>334234</v>
      </c>
      <c r="AO78" s="372">
        <v>45658</v>
      </c>
      <c r="AP78" s="372">
        <v>46022</v>
      </c>
      <c r="AQ78" s="352" t="s">
        <v>261</v>
      </c>
    </row>
    <row r="79" spans="1:58" s="45" customFormat="1" ht="93" customHeight="1">
      <c r="A79" s="399">
        <v>4</v>
      </c>
      <c r="B79" s="400" t="s">
        <v>253</v>
      </c>
      <c r="C79" s="401">
        <v>12</v>
      </c>
      <c r="D79" s="362" t="s">
        <v>401</v>
      </c>
      <c r="E79" s="377">
        <v>1203</v>
      </c>
      <c r="F79" s="362" t="s">
        <v>423</v>
      </c>
      <c r="G79" s="377" t="s">
        <v>424</v>
      </c>
      <c r="H79" s="362" t="s">
        <v>425</v>
      </c>
      <c r="I79" s="377">
        <v>120300200</v>
      </c>
      <c r="J79" s="362" t="s">
        <v>426</v>
      </c>
      <c r="K79" s="358">
        <v>12</v>
      </c>
      <c r="L79" s="358"/>
      <c r="M79" s="358">
        <f t="shared" si="9"/>
        <v>12</v>
      </c>
      <c r="N79" s="327">
        <v>2024003630082</v>
      </c>
      <c r="O79" s="362" t="s">
        <v>427</v>
      </c>
      <c r="P79" s="347" t="s">
        <v>428</v>
      </c>
      <c r="Q79" s="363">
        <v>20000000</v>
      </c>
      <c r="R79" s="397"/>
      <c r="S79" s="397"/>
      <c r="T79" s="397"/>
      <c r="U79" s="936">
        <f>+Q79-R79+S79-T79</f>
        <v>20000000</v>
      </c>
      <c r="V79" s="405" t="s">
        <v>429</v>
      </c>
      <c r="W79" s="377">
        <v>20</v>
      </c>
      <c r="X79" s="378" t="s">
        <v>67</v>
      </c>
      <c r="Y79" s="371">
        <v>146652</v>
      </c>
      <c r="Z79" s="371">
        <v>136372</v>
      </c>
      <c r="AA79" s="371">
        <v>49530</v>
      </c>
      <c r="AB79" s="371">
        <v>18070</v>
      </c>
      <c r="AC79" s="371">
        <v>157093</v>
      </c>
      <c r="AD79" s="371">
        <v>58332</v>
      </c>
      <c r="AE79" s="371">
        <v>4624</v>
      </c>
      <c r="AF79" s="371">
        <v>6402</v>
      </c>
      <c r="AG79" s="371">
        <v>12</v>
      </c>
      <c r="AH79" s="371">
        <v>3</v>
      </c>
      <c r="AI79" s="371">
        <v>0</v>
      </c>
      <c r="AJ79" s="371">
        <v>0</v>
      </c>
      <c r="AK79" s="371">
        <v>25473</v>
      </c>
      <c r="AL79" s="371">
        <v>14277</v>
      </c>
      <c r="AM79" s="371">
        <v>26957</v>
      </c>
      <c r="AN79" s="371">
        <f t="shared" si="8"/>
        <v>283024</v>
      </c>
      <c r="AO79" s="372">
        <v>45658</v>
      </c>
      <c r="AP79" s="372">
        <v>46022</v>
      </c>
      <c r="AQ79" s="352" t="s">
        <v>261</v>
      </c>
    </row>
    <row r="80" spans="1:58" s="45" customFormat="1" ht="93" customHeight="1">
      <c r="A80" s="399">
        <v>4</v>
      </c>
      <c r="B80" s="400" t="s">
        <v>253</v>
      </c>
      <c r="C80" s="401">
        <v>12</v>
      </c>
      <c r="D80" s="362" t="s">
        <v>401</v>
      </c>
      <c r="E80" s="377">
        <v>1203</v>
      </c>
      <c r="F80" s="362" t="s">
        <v>423</v>
      </c>
      <c r="G80" s="377" t="s">
        <v>424</v>
      </c>
      <c r="H80" s="362" t="s">
        <v>425</v>
      </c>
      <c r="I80" s="377">
        <v>120300200</v>
      </c>
      <c r="J80" s="362" t="s">
        <v>426</v>
      </c>
      <c r="K80" s="358">
        <v>12</v>
      </c>
      <c r="L80" s="358"/>
      <c r="M80" s="358">
        <f t="shared" si="9"/>
        <v>12</v>
      </c>
      <c r="N80" s="327">
        <v>2024003630082</v>
      </c>
      <c r="O80" s="362" t="s">
        <v>427</v>
      </c>
      <c r="P80" s="347" t="s">
        <v>430</v>
      </c>
      <c r="Q80" s="363">
        <v>13000000</v>
      </c>
      <c r="R80" s="397"/>
      <c r="S80" s="397"/>
      <c r="T80" s="397"/>
      <c r="U80" s="936">
        <f>+Q80-R80+S80-T80</f>
        <v>13000000</v>
      </c>
      <c r="V80" s="405" t="s">
        <v>429</v>
      </c>
      <c r="W80" s="377">
        <v>20</v>
      </c>
      <c r="X80" s="378" t="s">
        <v>67</v>
      </c>
      <c r="Y80" s="371">
        <v>146652</v>
      </c>
      <c r="Z80" s="371">
        <v>136372</v>
      </c>
      <c r="AA80" s="371">
        <v>49530</v>
      </c>
      <c r="AB80" s="371">
        <v>18070</v>
      </c>
      <c r="AC80" s="371">
        <v>157093</v>
      </c>
      <c r="AD80" s="371">
        <v>58332</v>
      </c>
      <c r="AE80" s="371">
        <v>4624</v>
      </c>
      <c r="AF80" s="371">
        <v>6402</v>
      </c>
      <c r="AG80" s="371">
        <v>12</v>
      </c>
      <c r="AH80" s="371">
        <v>3</v>
      </c>
      <c r="AI80" s="371">
        <v>0</v>
      </c>
      <c r="AJ80" s="371">
        <v>0</v>
      </c>
      <c r="AK80" s="371">
        <v>25473</v>
      </c>
      <c r="AL80" s="371">
        <v>14277</v>
      </c>
      <c r="AM80" s="371">
        <v>26957</v>
      </c>
      <c r="AN80" s="371">
        <f t="shared" si="8"/>
        <v>283024</v>
      </c>
      <c r="AO80" s="372">
        <v>45658</v>
      </c>
      <c r="AP80" s="372">
        <v>46022</v>
      </c>
      <c r="AQ80" s="352" t="s">
        <v>261</v>
      </c>
    </row>
    <row r="81" spans="1:43" s="45" customFormat="1" ht="93" customHeight="1">
      <c r="A81" s="399">
        <v>4</v>
      </c>
      <c r="B81" s="400" t="s">
        <v>253</v>
      </c>
      <c r="C81" s="401">
        <v>12</v>
      </c>
      <c r="D81" s="362" t="s">
        <v>401</v>
      </c>
      <c r="E81" s="377">
        <v>1203</v>
      </c>
      <c r="F81" s="362" t="s">
        <v>423</v>
      </c>
      <c r="G81" s="377" t="s">
        <v>424</v>
      </c>
      <c r="H81" s="362" t="s">
        <v>425</v>
      </c>
      <c r="I81" s="377">
        <v>120300200</v>
      </c>
      <c r="J81" s="362" t="s">
        <v>426</v>
      </c>
      <c r="K81" s="358">
        <v>12</v>
      </c>
      <c r="L81" s="358"/>
      <c r="M81" s="358">
        <f t="shared" si="9"/>
        <v>12</v>
      </c>
      <c r="N81" s="327">
        <v>2024003630082</v>
      </c>
      <c r="O81" s="362" t="s">
        <v>427</v>
      </c>
      <c r="P81" s="46" t="s">
        <v>431</v>
      </c>
      <c r="Q81" s="363">
        <v>20000000</v>
      </c>
      <c r="R81" s="397"/>
      <c r="S81" s="397"/>
      <c r="T81" s="397"/>
      <c r="U81" s="936">
        <f>+Q81-R81+S81-T81</f>
        <v>20000000</v>
      </c>
      <c r="V81" s="405" t="s">
        <v>429</v>
      </c>
      <c r="W81" s="377">
        <v>20</v>
      </c>
      <c r="X81" s="378" t="s">
        <v>67</v>
      </c>
      <c r="Y81" s="371">
        <v>146652</v>
      </c>
      <c r="Z81" s="371">
        <v>136372</v>
      </c>
      <c r="AA81" s="371">
        <v>49530</v>
      </c>
      <c r="AB81" s="371">
        <v>18070</v>
      </c>
      <c r="AC81" s="371">
        <v>157093</v>
      </c>
      <c r="AD81" s="371">
        <v>58332</v>
      </c>
      <c r="AE81" s="371">
        <v>4624</v>
      </c>
      <c r="AF81" s="371">
        <v>6402</v>
      </c>
      <c r="AG81" s="371">
        <v>12</v>
      </c>
      <c r="AH81" s="371">
        <v>3</v>
      </c>
      <c r="AI81" s="371">
        <v>0</v>
      </c>
      <c r="AJ81" s="371">
        <v>0</v>
      </c>
      <c r="AK81" s="371">
        <v>25473</v>
      </c>
      <c r="AL81" s="371">
        <v>14277</v>
      </c>
      <c r="AM81" s="371">
        <v>26957</v>
      </c>
      <c r="AN81" s="371">
        <f t="shared" si="8"/>
        <v>283024</v>
      </c>
      <c r="AO81" s="372">
        <v>45658</v>
      </c>
      <c r="AP81" s="372">
        <v>46022</v>
      </c>
      <c r="AQ81" s="352" t="s">
        <v>261</v>
      </c>
    </row>
    <row r="82" spans="1:43" s="45" customFormat="1" ht="93" customHeight="1">
      <c r="A82" s="399">
        <v>4</v>
      </c>
      <c r="B82" s="400" t="s">
        <v>253</v>
      </c>
      <c r="C82" s="401">
        <v>12</v>
      </c>
      <c r="D82" s="362" t="s">
        <v>401</v>
      </c>
      <c r="E82" s="377">
        <v>1203</v>
      </c>
      <c r="F82" s="362" t="s">
        <v>423</v>
      </c>
      <c r="G82" s="377" t="s">
        <v>424</v>
      </c>
      <c r="H82" s="362" t="s">
        <v>425</v>
      </c>
      <c r="I82" s="377">
        <v>120300200</v>
      </c>
      <c r="J82" s="362" t="s">
        <v>426</v>
      </c>
      <c r="K82" s="358">
        <v>12</v>
      </c>
      <c r="L82" s="358"/>
      <c r="M82" s="358">
        <f t="shared" si="9"/>
        <v>12</v>
      </c>
      <c r="N82" s="327">
        <v>2024003630082</v>
      </c>
      <c r="O82" s="362" t="s">
        <v>427</v>
      </c>
      <c r="P82" s="46" t="s">
        <v>432</v>
      </c>
      <c r="Q82" s="363">
        <v>12000000</v>
      </c>
      <c r="R82" s="397"/>
      <c r="S82" s="397"/>
      <c r="T82" s="397"/>
      <c r="U82" s="936">
        <f>+Q82-R82+S82-T82</f>
        <v>12000000</v>
      </c>
      <c r="V82" s="405" t="s">
        <v>429</v>
      </c>
      <c r="W82" s="377">
        <v>20</v>
      </c>
      <c r="X82" s="378" t="s">
        <v>67</v>
      </c>
      <c r="Y82" s="371">
        <v>146652</v>
      </c>
      <c r="Z82" s="371">
        <v>136372</v>
      </c>
      <c r="AA82" s="371">
        <v>49530</v>
      </c>
      <c r="AB82" s="371">
        <v>18070</v>
      </c>
      <c r="AC82" s="371">
        <v>157093</v>
      </c>
      <c r="AD82" s="371">
        <v>58332</v>
      </c>
      <c r="AE82" s="371">
        <v>4624</v>
      </c>
      <c r="AF82" s="371">
        <v>6402</v>
      </c>
      <c r="AG82" s="371">
        <v>12</v>
      </c>
      <c r="AH82" s="371">
        <v>3</v>
      </c>
      <c r="AI82" s="371">
        <v>0</v>
      </c>
      <c r="AJ82" s="371">
        <v>0</v>
      </c>
      <c r="AK82" s="371">
        <v>25473</v>
      </c>
      <c r="AL82" s="371">
        <v>14277</v>
      </c>
      <c r="AM82" s="371">
        <v>26957</v>
      </c>
      <c r="AN82" s="371">
        <f t="shared" si="8"/>
        <v>283024</v>
      </c>
      <c r="AO82" s="372">
        <v>45658</v>
      </c>
      <c r="AP82" s="372">
        <v>46022</v>
      </c>
      <c r="AQ82" s="352" t="s">
        <v>261</v>
      </c>
    </row>
    <row r="83" spans="1:43" s="45" customFormat="1" ht="97.35" customHeight="1">
      <c r="A83" s="399">
        <v>4</v>
      </c>
      <c r="B83" s="400" t="s">
        <v>253</v>
      </c>
      <c r="C83" s="401" t="s">
        <v>433</v>
      </c>
      <c r="D83" s="378" t="s">
        <v>254</v>
      </c>
      <c r="E83" s="377">
        <v>4502</v>
      </c>
      <c r="F83" s="378" t="s">
        <v>97</v>
      </c>
      <c r="G83" s="377" t="s">
        <v>434</v>
      </c>
      <c r="H83" s="362" t="s">
        <v>183</v>
      </c>
      <c r="I83" s="377" t="s">
        <v>435</v>
      </c>
      <c r="J83" s="362" t="s">
        <v>184</v>
      </c>
      <c r="K83" s="358">
        <v>5</v>
      </c>
      <c r="L83" s="358"/>
      <c r="M83" s="358">
        <f t="shared" ref="M83:M88" si="10">+K83+L83</f>
        <v>5</v>
      </c>
      <c r="N83" s="327">
        <v>2024003630083</v>
      </c>
      <c r="O83" s="362" t="s">
        <v>436</v>
      </c>
      <c r="P83" s="347" t="s">
        <v>437</v>
      </c>
      <c r="Q83" s="348">
        <v>100000000</v>
      </c>
      <c r="R83" s="406"/>
      <c r="S83" s="406"/>
      <c r="T83" s="406"/>
      <c r="U83" s="936">
        <f>+Q83-R83+S83-T83</f>
        <v>100000000</v>
      </c>
      <c r="V83" s="349" t="s">
        <v>438</v>
      </c>
      <c r="W83" s="377">
        <v>20</v>
      </c>
      <c r="X83" s="378" t="s">
        <v>67</v>
      </c>
      <c r="Y83" s="350">
        <v>86604</v>
      </c>
      <c r="Z83" s="350">
        <v>57740</v>
      </c>
      <c r="AA83" s="350">
        <v>32000</v>
      </c>
      <c r="AB83" s="350">
        <v>9000</v>
      </c>
      <c r="AC83" s="350">
        <v>73344</v>
      </c>
      <c r="AD83" s="350">
        <v>30000</v>
      </c>
      <c r="AE83" s="350">
        <v>10000</v>
      </c>
      <c r="AF83" s="350">
        <v>10000</v>
      </c>
      <c r="AG83" s="351">
        <v>100</v>
      </c>
      <c r="AH83" s="351">
        <v>100</v>
      </c>
      <c r="AI83" s="371">
        <v>104000</v>
      </c>
      <c r="AJ83" s="351">
        <v>144</v>
      </c>
      <c r="AK83" s="371">
        <v>5000</v>
      </c>
      <c r="AL83" s="371">
        <v>9000</v>
      </c>
      <c r="AM83" s="351">
        <v>6000</v>
      </c>
      <c r="AN83" s="350">
        <f t="shared" si="8"/>
        <v>144344</v>
      </c>
      <c r="AO83" s="372">
        <v>45658</v>
      </c>
      <c r="AP83" s="372">
        <v>46022</v>
      </c>
      <c r="AQ83" s="352" t="s">
        <v>261</v>
      </c>
    </row>
    <row r="84" spans="1:43" s="45" customFormat="1" ht="97.35" customHeight="1">
      <c r="A84" s="399">
        <v>4</v>
      </c>
      <c r="B84" s="400" t="s">
        <v>253</v>
      </c>
      <c r="C84" s="401" t="s">
        <v>433</v>
      </c>
      <c r="D84" s="378" t="s">
        <v>254</v>
      </c>
      <c r="E84" s="377">
        <v>4502</v>
      </c>
      <c r="F84" s="378" t="s">
        <v>97</v>
      </c>
      <c r="G84" s="377" t="s">
        <v>434</v>
      </c>
      <c r="H84" s="362" t="s">
        <v>183</v>
      </c>
      <c r="I84" s="377" t="s">
        <v>435</v>
      </c>
      <c r="J84" s="362" t="s">
        <v>184</v>
      </c>
      <c r="K84" s="358">
        <v>5</v>
      </c>
      <c r="L84" s="358"/>
      <c r="M84" s="358">
        <f t="shared" si="10"/>
        <v>5</v>
      </c>
      <c r="N84" s="327">
        <v>2024003630083</v>
      </c>
      <c r="O84" s="362" t="s">
        <v>436</v>
      </c>
      <c r="P84" s="347" t="s">
        <v>439</v>
      </c>
      <c r="Q84" s="348">
        <v>70000000</v>
      </c>
      <c r="R84" s="406"/>
      <c r="S84" s="406"/>
      <c r="T84" s="406"/>
      <c r="U84" s="936">
        <f>+Q84-R84+S84-T84</f>
        <v>70000000</v>
      </c>
      <c r="V84" s="349" t="s">
        <v>438</v>
      </c>
      <c r="W84" s="377">
        <v>20</v>
      </c>
      <c r="X84" s="378" t="s">
        <v>67</v>
      </c>
      <c r="Y84" s="350">
        <v>86604</v>
      </c>
      <c r="Z84" s="350">
        <v>57740</v>
      </c>
      <c r="AA84" s="350">
        <v>32000</v>
      </c>
      <c r="AB84" s="350">
        <v>9000</v>
      </c>
      <c r="AC84" s="350">
        <v>73344</v>
      </c>
      <c r="AD84" s="350">
        <v>30000</v>
      </c>
      <c r="AE84" s="350">
        <v>10000</v>
      </c>
      <c r="AF84" s="350">
        <v>10000</v>
      </c>
      <c r="AG84" s="351">
        <v>100</v>
      </c>
      <c r="AH84" s="351">
        <v>100</v>
      </c>
      <c r="AI84" s="371">
        <v>104000</v>
      </c>
      <c r="AJ84" s="351">
        <v>144</v>
      </c>
      <c r="AK84" s="371">
        <v>5000</v>
      </c>
      <c r="AL84" s="371">
        <v>9000</v>
      </c>
      <c r="AM84" s="351">
        <v>6000</v>
      </c>
      <c r="AN84" s="350">
        <f t="shared" si="8"/>
        <v>144344</v>
      </c>
      <c r="AO84" s="372">
        <v>45658</v>
      </c>
      <c r="AP84" s="372">
        <v>46022</v>
      </c>
      <c r="AQ84" s="352" t="s">
        <v>261</v>
      </c>
    </row>
    <row r="85" spans="1:43" s="45" customFormat="1" ht="97.35" customHeight="1">
      <c r="A85" s="399">
        <v>4</v>
      </c>
      <c r="B85" s="400" t="s">
        <v>253</v>
      </c>
      <c r="C85" s="401" t="s">
        <v>433</v>
      </c>
      <c r="D85" s="378" t="s">
        <v>254</v>
      </c>
      <c r="E85" s="377">
        <v>4502</v>
      </c>
      <c r="F85" s="378" t="s">
        <v>97</v>
      </c>
      <c r="G85" s="377" t="s">
        <v>434</v>
      </c>
      <c r="H85" s="362" t="s">
        <v>183</v>
      </c>
      <c r="I85" s="377" t="s">
        <v>435</v>
      </c>
      <c r="J85" s="362" t="s">
        <v>184</v>
      </c>
      <c r="K85" s="358">
        <v>5</v>
      </c>
      <c r="L85" s="358"/>
      <c r="M85" s="358">
        <f t="shared" si="10"/>
        <v>5</v>
      </c>
      <c r="N85" s="327">
        <v>2024003630083</v>
      </c>
      <c r="O85" s="362" t="s">
        <v>436</v>
      </c>
      <c r="P85" s="347" t="s">
        <v>440</v>
      </c>
      <c r="Q85" s="348">
        <v>300000000</v>
      </c>
      <c r="R85" s="406">
        <f>60000000</f>
        <v>60000000</v>
      </c>
      <c r="S85" s="406"/>
      <c r="T85" s="406"/>
      <c r="U85" s="936">
        <f>+Q85-R85+S85-T85</f>
        <v>240000000</v>
      </c>
      <c r="V85" s="353" t="s">
        <v>441</v>
      </c>
      <c r="W85" s="377" t="s">
        <v>131</v>
      </c>
      <c r="X85" s="378" t="s">
        <v>442</v>
      </c>
      <c r="Y85" s="350">
        <v>86604</v>
      </c>
      <c r="Z85" s="350">
        <v>57740</v>
      </c>
      <c r="AA85" s="350">
        <v>32000</v>
      </c>
      <c r="AB85" s="350">
        <v>9000</v>
      </c>
      <c r="AC85" s="350">
        <v>73344</v>
      </c>
      <c r="AD85" s="350">
        <v>30000</v>
      </c>
      <c r="AE85" s="350">
        <v>10000</v>
      </c>
      <c r="AF85" s="350">
        <v>10000</v>
      </c>
      <c r="AG85" s="351">
        <v>100</v>
      </c>
      <c r="AH85" s="351">
        <v>100</v>
      </c>
      <c r="AI85" s="371">
        <v>104000</v>
      </c>
      <c r="AJ85" s="351">
        <v>144</v>
      </c>
      <c r="AK85" s="371">
        <v>5000</v>
      </c>
      <c r="AL85" s="371">
        <v>9000</v>
      </c>
      <c r="AM85" s="351">
        <v>6000</v>
      </c>
      <c r="AN85" s="350">
        <f t="shared" si="8"/>
        <v>144344</v>
      </c>
      <c r="AO85" s="372">
        <v>45658</v>
      </c>
      <c r="AP85" s="372">
        <v>46022</v>
      </c>
      <c r="AQ85" s="352" t="s">
        <v>261</v>
      </c>
    </row>
    <row r="86" spans="1:43" s="45" customFormat="1" ht="97.35" customHeight="1">
      <c r="A86" s="399">
        <v>4</v>
      </c>
      <c r="B86" s="400" t="s">
        <v>253</v>
      </c>
      <c r="C86" s="401" t="s">
        <v>433</v>
      </c>
      <c r="D86" s="378" t="s">
        <v>254</v>
      </c>
      <c r="E86" s="377">
        <v>4502</v>
      </c>
      <c r="F86" s="378" t="s">
        <v>97</v>
      </c>
      <c r="G86" s="377" t="s">
        <v>434</v>
      </c>
      <c r="H86" s="362" t="s">
        <v>183</v>
      </c>
      <c r="I86" s="377" t="s">
        <v>435</v>
      </c>
      <c r="J86" s="362" t="s">
        <v>184</v>
      </c>
      <c r="K86" s="358">
        <v>5</v>
      </c>
      <c r="L86" s="358"/>
      <c r="M86" s="358">
        <f t="shared" si="10"/>
        <v>5</v>
      </c>
      <c r="N86" s="327">
        <v>2024003630083</v>
      </c>
      <c r="O86" s="362" t="s">
        <v>436</v>
      </c>
      <c r="P86" s="46" t="s">
        <v>443</v>
      </c>
      <c r="Q86" s="348">
        <v>230000000</v>
      </c>
      <c r="R86" s="406">
        <v>10000000</v>
      </c>
      <c r="S86" s="406"/>
      <c r="T86" s="406"/>
      <c r="U86" s="936">
        <f>+Q86-R86+S86-T86</f>
        <v>220000000</v>
      </c>
      <c r="V86" s="353" t="s">
        <v>438</v>
      </c>
      <c r="W86" s="377">
        <v>20</v>
      </c>
      <c r="X86" s="378" t="s">
        <v>67</v>
      </c>
      <c r="Y86" s="350">
        <v>86604</v>
      </c>
      <c r="Z86" s="350">
        <v>57740</v>
      </c>
      <c r="AA86" s="350">
        <v>32000</v>
      </c>
      <c r="AB86" s="350">
        <v>9000</v>
      </c>
      <c r="AC86" s="350">
        <v>73344</v>
      </c>
      <c r="AD86" s="350">
        <v>30000</v>
      </c>
      <c r="AE86" s="350">
        <v>10000</v>
      </c>
      <c r="AF86" s="350">
        <v>10000</v>
      </c>
      <c r="AG86" s="351">
        <v>100</v>
      </c>
      <c r="AH86" s="351">
        <v>100</v>
      </c>
      <c r="AI86" s="371">
        <v>104000</v>
      </c>
      <c r="AJ86" s="351">
        <v>144</v>
      </c>
      <c r="AK86" s="371">
        <v>5000</v>
      </c>
      <c r="AL86" s="371">
        <v>9000</v>
      </c>
      <c r="AM86" s="351">
        <v>6000</v>
      </c>
      <c r="AN86" s="350">
        <f t="shared" si="8"/>
        <v>144344</v>
      </c>
      <c r="AO86" s="372">
        <v>45658</v>
      </c>
      <c r="AP86" s="372">
        <v>46022</v>
      </c>
      <c r="AQ86" s="352" t="s">
        <v>261</v>
      </c>
    </row>
    <row r="87" spans="1:43" s="45" customFormat="1" ht="97.35" customHeight="1">
      <c r="A87" s="399">
        <v>4</v>
      </c>
      <c r="B87" s="400" t="s">
        <v>253</v>
      </c>
      <c r="C87" s="401" t="s">
        <v>433</v>
      </c>
      <c r="D87" s="378" t="s">
        <v>254</v>
      </c>
      <c r="E87" s="377">
        <v>4502</v>
      </c>
      <c r="F87" s="378" t="s">
        <v>97</v>
      </c>
      <c r="G87" s="377" t="s">
        <v>434</v>
      </c>
      <c r="H87" s="362" t="s">
        <v>183</v>
      </c>
      <c r="I87" s="377" t="s">
        <v>435</v>
      </c>
      <c r="J87" s="362" t="s">
        <v>184</v>
      </c>
      <c r="K87" s="358">
        <v>5</v>
      </c>
      <c r="L87" s="358"/>
      <c r="M87" s="358">
        <f t="shared" si="10"/>
        <v>5</v>
      </c>
      <c r="N87" s="327">
        <v>2024003630083</v>
      </c>
      <c r="O87" s="362" t="s">
        <v>436</v>
      </c>
      <c r="P87" s="46" t="s">
        <v>444</v>
      </c>
      <c r="Q87" s="348">
        <v>300000000</v>
      </c>
      <c r="R87" s="406"/>
      <c r="S87" s="406"/>
      <c r="T87" s="406"/>
      <c r="U87" s="936">
        <f>+Q87-R87+S87-T87</f>
        <v>300000000</v>
      </c>
      <c r="V87" s="353" t="s">
        <v>445</v>
      </c>
      <c r="W87" s="377">
        <v>20</v>
      </c>
      <c r="X87" s="378" t="s">
        <v>67</v>
      </c>
      <c r="Y87" s="350">
        <v>86604</v>
      </c>
      <c r="Z87" s="350">
        <v>57740</v>
      </c>
      <c r="AA87" s="350">
        <v>32000</v>
      </c>
      <c r="AB87" s="350">
        <v>9000</v>
      </c>
      <c r="AC87" s="350">
        <v>73344</v>
      </c>
      <c r="AD87" s="350">
        <v>30000</v>
      </c>
      <c r="AE87" s="350">
        <v>10000</v>
      </c>
      <c r="AF87" s="350">
        <v>10000</v>
      </c>
      <c r="AG87" s="351">
        <v>100</v>
      </c>
      <c r="AH87" s="351">
        <v>100</v>
      </c>
      <c r="AI87" s="371">
        <v>104000</v>
      </c>
      <c r="AJ87" s="351">
        <v>144</v>
      </c>
      <c r="AK87" s="371">
        <v>5000</v>
      </c>
      <c r="AL87" s="371">
        <v>9000</v>
      </c>
      <c r="AM87" s="351">
        <v>6000</v>
      </c>
      <c r="AN87" s="350">
        <f t="shared" si="8"/>
        <v>144344</v>
      </c>
      <c r="AO87" s="372">
        <v>45658</v>
      </c>
      <c r="AP87" s="372">
        <v>46022</v>
      </c>
      <c r="AQ87" s="352" t="s">
        <v>261</v>
      </c>
    </row>
    <row r="88" spans="1:43" s="45" customFormat="1" ht="97.35" customHeight="1">
      <c r="A88" s="399">
        <v>4</v>
      </c>
      <c r="B88" s="400" t="s">
        <v>253</v>
      </c>
      <c r="C88" s="401" t="s">
        <v>433</v>
      </c>
      <c r="D88" s="378" t="s">
        <v>254</v>
      </c>
      <c r="E88" s="377">
        <v>4502</v>
      </c>
      <c r="F88" s="378" t="s">
        <v>97</v>
      </c>
      <c r="G88" s="377" t="s">
        <v>434</v>
      </c>
      <c r="H88" s="362" t="s">
        <v>183</v>
      </c>
      <c r="I88" s="377">
        <v>450200111</v>
      </c>
      <c r="J88" s="362" t="s">
        <v>446</v>
      </c>
      <c r="K88" s="358">
        <v>1</v>
      </c>
      <c r="L88" s="358"/>
      <c r="M88" s="358">
        <f t="shared" si="10"/>
        <v>1</v>
      </c>
      <c r="N88" s="327">
        <v>2024003630083</v>
      </c>
      <c r="O88" s="362" t="s">
        <v>436</v>
      </c>
      <c r="P88" s="46" t="s">
        <v>447</v>
      </c>
      <c r="Q88" s="363">
        <v>20000000</v>
      </c>
      <c r="R88" s="406"/>
      <c r="S88" s="406"/>
      <c r="T88" s="406"/>
      <c r="U88" s="936">
        <f>+Q88-R88+S88-T88</f>
        <v>20000000</v>
      </c>
      <c r="V88" s="353" t="s">
        <v>438</v>
      </c>
      <c r="W88" s="377">
        <v>20</v>
      </c>
      <c r="X88" s="378" t="s">
        <v>67</v>
      </c>
      <c r="Y88" s="350">
        <v>86604</v>
      </c>
      <c r="Z88" s="350">
        <v>57740</v>
      </c>
      <c r="AA88" s="350">
        <v>32000</v>
      </c>
      <c r="AB88" s="350">
        <v>9000</v>
      </c>
      <c r="AC88" s="350">
        <v>73344</v>
      </c>
      <c r="AD88" s="350">
        <v>30000</v>
      </c>
      <c r="AE88" s="350">
        <v>10000</v>
      </c>
      <c r="AF88" s="350">
        <v>10000</v>
      </c>
      <c r="AG88" s="351">
        <v>100</v>
      </c>
      <c r="AH88" s="351">
        <v>100</v>
      </c>
      <c r="AI88" s="371">
        <v>104000</v>
      </c>
      <c r="AJ88" s="351">
        <v>144</v>
      </c>
      <c r="AK88" s="371">
        <v>5000</v>
      </c>
      <c r="AL88" s="371">
        <v>9000</v>
      </c>
      <c r="AM88" s="351">
        <v>6000</v>
      </c>
      <c r="AN88" s="350">
        <f t="shared" si="8"/>
        <v>144344</v>
      </c>
      <c r="AO88" s="372">
        <v>45658</v>
      </c>
      <c r="AP88" s="372">
        <v>46022</v>
      </c>
      <c r="AQ88" s="352" t="s">
        <v>261</v>
      </c>
    </row>
    <row r="89" spans="1:43" s="45" customFormat="1" ht="97.35" customHeight="1">
      <c r="A89" s="399">
        <v>4</v>
      </c>
      <c r="B89" s="400" t="s">
        <v>253</v>
      </c>
      <c r="C89" s="401" t="s">
        <v>433</v>
      </c>
      <c r="D89" s="378" t="s">
        <v>254</v>
      </c>
      <c r="E89" s="377">
        <v>4502</v>
      </c>
      <c r="F89" s="378" t="s">
        <v>97</v>
      </c>
      <c r="G89" s="377" t="s">
        <v>434</v>
      </c>
      <c r="H89" s="362" t="s">
        <v>183</v>
      </c>
      <c r="I89" s="377">
        <v>450200111</v>
      </c>
      <c r="J89" s="362" t="s">
        <v>446</v>
      </c>
      <c r="K89" s="358">
        <v>1</v>
      </c>
      <c r="L89" s="358"/>
      <c r="M89" s="358">
        <f t="shared" ref="M89:M97" si="11">+K89+L89</f>
        <v>1</v>
      </c>
      <c r="N89" s="327">
        <v>2024003630083</v>
      </c>
      <c r="O89" s="362" t="s">
        <v>436</v>
      </c>
      <c r="P89" s="46" t="s">
        <v>448</v>
      </c>
      <c r="Q89" s="363">
        <v>30000000</v>
      </c>
      <c r="R89" s="406">
        <f>1500000</f>
        <v>1500000</v>
      </c>
      <c r="S89" s="406"/>
      <c r="T89" s="406"/>
      <c r="U89" s="936">
        <f>+Q89-R89+S89-T89</f>
        <v>28500000</v>
      </c>
      <c r="V89" s="353" t="s">
        <v>438</v>
      </c>
      <c r="W89" s="377">
        <v>20</v>
      </c>
      <c r="X89" s="378" t="s">
        <v>67</v>
      </c>
      <c r="Y89" s="350">
        <v>86604</v>
      </c>
      <c r="Z89" s="350">
        <v>57740</v>
      </c>
      <c r="AA89" s="350">
        <v>32000</v>
      </c>
      <c r="AB89" s="350">
        <v>9000</v>
      </c>
      <c r="AC89" s="350">
        <v>73344</v>
      </c>
      <c r="AD89" s="350">
        <v>30000</v>
      </c>
      <c r="AE89" s="350">
        <v>10000</v>
      </c>
      <c r="AF89" s="350">
        <v>10000</v>
      </c>
      <c r="AG89" s="351">
        <v>100</v>
      </c>
      <c r="AH89" s="351">
        <v>100</v>
      </c>
      <c r="AI89" s="371">
        <v>104000</v>
      </c>
      <c r="AJ89" s="351">
        <v>144</v>
      </c>
      <c r="AK89" s="371">
        <v>5000</v>
      </c>
      <c r="AL89" s="371">
        <v>9000</v>
      </c>
      <c r="AM89" s="351">
        <v>6000</v>
      </c>
      <c r="AN89" s="350">
        <f t="shared" si="8"/>
        <v>144344</v>
      </c>
      <c r="AO89" s="372">
        <v>45658</v>
      </c>
      <c r="AP89" s="372">
        <v>46022</v>
      </c>
      <c r="AQ89" s="352" t="s">
        <v>261</v>
      </c>
    </row>
    <row r="90" spans="1:43" s="45" customFormat="1" ht="97.35" customHeight="1">
      <c r="A90" s="399">
        <v>4</v>
      </c>
      <c r="B90" s="400" t="s">
        <v>253</v>
      </c>
      <c r="C90" s="401" t="s">
        <v>433</v>
      </c>
      <c r="D90" s="378" t="s">
        <v>254</v>
      </c>
      <c r="E90" s="377">
        <v>4502</v>
      </c>
      <c r="F90" s="378" t="s">
        <v>97</v>
      </c>
      <c r="G90" s="377" t="s">
        <v>434</v>
      </c>
      <c r="H90" s="362" t="s">
        <v>183</v>
      </c>
      <c r="I90" s="377">
        <v>450200111</v>
      </c>
      <c r="J90" s="362" t="s">
        <v>446</v>
      </c>
      <c r="K90" s="358">
        <v>1</v>
      </c>
      <c r="L90" s="358"/>
      <c r="M90" s="358">
        <f t="shared" si="11"/>
        <v>1</v>
      </c>
      <c r="N90" s="327">
        <v>2024003630083</v>
      </c>
      <c r="O90" s="362" t="s">
        <v>436</v>
      </c>
      <c r="P90" s="46" t="s">
        <v>449</v>
      </c>
      <c r="Q90" s="363">
        <v>3000000</v>
      </c>
      <c r="R90" s="406"/>
      <c r="S90" s="406"/>
      <c r="T90" s="406"/>
      <c r="U90" s="936">
        <f>+Q90-R90+S90-T90</f>
        <v>3000000</v>
      </c>
      <c r="V90" s="353" t="s">
        <v>450</v>
      </c>
      <c r="W90" s="377">
        <v>20</v>
      </c>
      <c r="X90" s="378" t="s">
        <v>67</v>
      </c>
      <c r="Y90" s="350">
        <v>86604</v>
      </c>
      <c r="Z90" s="350">
        <v>57740</v>
      </c>
      <c r="AA90" s="350">
        <v>32000</v>
      </c>
      <c r="AB90" s="350">
        <v>9000</v>
      </c>
      <c r="AC90" s="350">
        <v>73344</v>
      </c>
      <c r="AD90" s="350">
        <v>30000</v>
      </c>
      <c r="AE90" s="350">
        <v>10000</v>
      </c>
      <c r="AF90" s="350">
        <v>10000</v>
      </c>
      <c r="AG90" s="351">
        <v>100</v>
      </c>
      <c r="AH90" s="351">
        <v>100</v>
      </c>
      <c r="AI90" s="371">
        <v>104000</v>
      </c>
      <c r="AJ90" s="351">
        <v>144</v>
      </c>
      <c r="AK90" s="371">
        <v>5000</v>
      </c>
      <c r="AL90" s="371">
        <v>9000</v>
      </c>
      <c r="AM90" s="351">
        <v>6000</v>
      </c>
      <c r="AN90" s="350">
        <f t="shared" si="8"/>
        <v>144344</v>
      </c>
      <c r="AO90" s="372">
        <v>45658</v>
      </c>
      <c r="AP90" s="372">
        <v>46022</v>
      </c>
      <c r="AQ90" s="352" t="s">
        <v>261</v>
      </c>
    </row>
    <row r="91" spans="1:43" s="45" customFormat="1" ht="97.35" customHeight="1">
      <c r="A91" s="399">
        <v>4</v>
      </c>
      <c r="B91" s="400" t="s">
        <v>253</v>
      </c>
      <c r="C91" s="401" t="s">
        <v>433</v>
      </c>
      <c r="D91" s="378" t="s">
        <v>254</v>
      </c>
      <c r="E91" s="377">
        <v>4502</v>
      </c>
      <c r="F91" s="378" t="s">
        <v>97</v>
      </c>
      <c r="G91" s="377" t="s">
        <v>434</v>
      </c>
      <c r="H91" s="362" t="s">
        <v>183</v>
      </c>
      <c r="I91" s="377">
        <v>450200111</v>
      </c>
      <c r="J91" s="362" t="s">
        <v>446</v>
      </c>
      <c r="K91" s="358">
        <v>1</v>
      </c>
      <c r="L91" s="358"/>
      <c r="M91" s="358">
        <f t="shared" si="11"/>
        <v>1</v>
      </c>
      <c r="N91" s="327">
        <v>2024003630083</v>
      </c>
      <c r="O91" s="362" t="s">
        <v>436</v>
      </c>
      <c r="P91" s="46" t="s">
        <v>451</v>
      </c>
      <c r="Q91" s="363">
        <v>10000000</v>
      </c>
      <c r="R91" s="406"/>
      <c r="S91" s="406"/>
      <c r="T91" s="406"/>
      <c r="U91" s="936">
        <f>+Q91-R91+S91-T91</f>
        <v>10000000</v>
      </c>
      <c r="V91" s="353" t="s">
        <v>452</v>
      </c>
      <c r="W91" s="377">
        <v>20</v>
      </c>
      <c r="X91" s="378" t="s">
        <v>67</v>
      </c>
      <c r="Y91" s="350">
        <v>86604</v>
      </c>
      <c r="Z91" s="350">
        <v>57740</v>
      </c>
      <c r="AA91" s="350">
        <v>32000</v>
      </c>
      <c r="AB91" s="350">
        <v>9000</v>
      </c>
      <c r="AC91" s="350">
        <v>73344</v>
      </c>
      <c r="AD91" s="350">
        <v>30000</v>
      </c>
      <c r="AE91" s="350">
        <v>10000</v>
      </c>
      <c r="AF91" s="350">
        <v>10000</v>
      </c>
      <c r="AG91" s="351">
        <v>100</v>
      </c>
      <c r="AH91" s="351">
        <v>100</v>
      </c>
      <c r="AI91" s="371">
        <v>104000</v>
      </c>
      <c r="AJ91" s="351">
        <v>144</v>
      </c>
      <c r="AK91" s="371">
        <v>5000</v>
      </c>
      <c r="AL91" s="371">
        <v>9000</v>
      </c>
      <c r="AM91" s="351">
        <v>6000</v>
      </c>
      <c r="AN91" s="350">
        <f t="shared" si="8"/>
        <v>144344</v>
      </c>
      <c r="AO91" s="372">
        <v>45658</v>
      </c>
      <c r="AP91" s="372">
        <v>46022</v>
      </c>
      <c r="AQ91" s="352" t="s">
        <v>261</v>
      </c>
    </row>
    <row r="92" spans="1:43" s="45" customFormat="1" ht="97.35" customHeight="1">
      <c r="A92" s="399">
        <v>4</v>
      </c>
      <c r="B92" s="400" t="s">
        <v>253</v>
      </c>
      <c r="C92" s="401" t="s">
        <v>433</v>
      </c>
      <c r="D92" s="378" t="s">
        <v>254</v>
      </c>
      <c r="E92" s="377">
        <v>4502</v>
      </c>
      <c r="F92" s="378" t="s">
        <v>97</v>
      </c>
      <c r="G92" s="377" t="s">
        <v>434</v>
      </c>
      <c r="H92" s="362" t="s">
        <v>183</v>
      </c>
      <c r="I92" s="377">
        <v>450200111</v>
      </c>
      <c r="J92" s="362" t="s">
        <v>446</v>
      </c>
      <c r="K92" s="358">
        <v>1</v>
      </c>
      <c r="L92" s="358"/>
      <c r="M92" s="358">
        <f t="shared" si="11"/>
        <v>1</v>
      </c>
      <c r="N92" s="327">
        <v>2024003630083</v>
      </c>
      <c r="O92" s="362" t="s">
        <v>436</v>
      </c>
      <c r="P92" s="46" t="s">
        <v>453</v>
      </c>
      <c r="Q92" s="363">
        <v>80000000</v>
      </c>
      <c r="R92" s="406">
        <f>6800000+11200000+2000000</f>
        <v>20000000</v>
      </c>
      <c r="S92" s="406"/>
      <c r="T92" s="406"/>
      <c r="U92" s="936">
        <f>+Q92-R92+S92-T92</f>
        <v>60000000</v>
      </c>
      <c r="V92" s="353" t="s">
        <v>438</v>
      </c>
      <c r="W92" s="377">
        <v>20</v>
      </c>
      <c r="X92" s="378" t="s">
        <v>67</v>
      </c>
      <c r="Y92" s="350">
        <v>86604</v>
      </c>
      <c r="Z92" s="350">
        <v>57740</v>
      </c>
      <c r="AA92" s="350">
        <v>32000</v>
      </c>
      <c r="AB92" s="350">
        <v>9000</v>
      </c>
      <c r="AC92" s="350">
        <v>73344</v>
      </c>
      <c r="AD92" s="350">
        <v>30000</v>
      </c>
      <c r="AE92" s="350">
        <v>10000</v>
      </c>
      <c r="AF92" s="350">
        <v>10000</v>
      </c>
      <c r="AG92" s="351">
        <v>100</v>
      </c>
      <c r="AH92" s="351">
        <v>100</v>
      </c>
      <c r="AI92" s="371">
        <v>104000</v>
      </c>
      <c r="AJ92" s="351">
        <v>144</v>
      </c>
      <c r="AK92" s="371">
        <v>5000</v>
      </c>
      <c r="AL92" s="371">
        <v>9000</v>
      </c>
      <c r="AM92" s="351">
        <v>6000</v>
      </c>
      <c r="AN92" s="350">
        <f t="shared" si="8"/>
        <v>144344</v>
      </c>
      <c r="AO92" s="372">
        <v>45658</v>
      </c>
      <c r="AP92" s="372">
        <v>46022</v>
      </c>
      <c r="AQ92" s="352" t="s">
        <v>261</v>
      </c>
    </row>
    <row r="93" spans="1:43" s="45" customFormat="1" ht="97.35" customHeight="1">
      <c r="A93" s="399">
        <v>4</v>
      </c>
      <c r="B93" s="400" t="s">
        <v>253</v>
      </c>
      <c r="C93" s="401" t="s">
        <v>433</v>
      </c>
      <c r="D93" s="378" t="s">
        <v>254</v>
      </c>
      <c r="E93" s="377">
        <v>4502</v>
      </c>
      <c r="F93" s="378" t="s">
        <v>97</v>
      </c>
      <c r="G93" s="377" t="s">
        <v>434</v>
      </c>
      <c r="H93" s="362" t="s">
        <v>183</v>
      </c>
      <c r="I93" s="377">
        <v>450200111</v>
      </c>
      <c r="J93" s="362" t="s">
        <v>446</v>
      </c>
      <c r="K93" s="358">
        <v>1</v>
      </c>
      <c r="L93" s="358"/>
      <c r="M93" s="358">
        <f t="shared" si="11"/>
        <v>1</v>
      </c>
      <c r="N93" s="327">
        <v>2024003630083</v>
      </c>
      <c r="O93" s="362" t="s">
        <v>436</v>
      </c>
      <c r="P93" s="46" t="s">
        <v>454</v>
      </c>
      <c r="Q93" s="363">
        <v>40000000</v>
      </c>
      <c r="R93" s="406">
        <f>2000000</f>
        <v>2000000</v>
      </c>
      <c r="S93" s="406"/>
      <c r="T93" s="406"/>
      <c r="U93" s="936">
        <f>+Q93-R93+S93-T93</f>
        <v>38000000</v>
      </c>
      <c r="V93" s="353" t="s">
        <v>438</v>
      </c>
      <c r="W93" s="377">
        <v>20</v>
      </c>
      <c r="X93" s="378" t="s">
        <v>67</v>
      </c>
      <c r="Y93" s="350">
        <v>86604</v>
      </c>
      <c r="Z93" s="350">
        <v>57740</v>
      </c>
      <c r="AA93" s="350">
        <v>32000</v>
      </c>
      <c r="AB93" s="350">
        <v>9000</v>
      </c>
      <c r="AC93" s="350">
        <v>73344</v>
      </c>
      <c r="AD93" s="350">
        <v>30000</v>
      </c>
      <c r="AE93" s="350">
        <v>10000</v>
      </c>
      <c r="AF93" s="350">
        <v>10000</v>
      </c>
      <c r="AG93" s="351">
        <v>100</v>
      </c>
      <c r="AH93" s="351">
        <v>100</v>
      </c>
      <c r="AI93" s="371">
        <v>104000</v>
      </c>
      <c r="AJ93" s="351">
        <v>144</v>
      </c>
      <c r="AK93" s="371">
        <v>5000</v>
      </c>
      <c r="AL93" s="371">
        <v>9000</v>
      </c>
      <c r="AM93" s="351">
        <v>6000</v>
      </c>
      <c r="AN93" s="350">
        <f t="shared" si="8"/>
        <v>144344</v>
      </c>
      <c r="AO93" s="372">
        <v>45658</v>
      </c>
      <c r="AP93" s="372">
        <v>46022</v>
      </c>
      <c r="AQ93" s="352" t="s">
        <v>261</v>
      </c>
    </row>
    <row r="94" spans="1:43" s="45" customFormat="1" ht="97.35" customHeight="1">
      <c r="A94" s="399">
        <v>4</v>
      </c>
      <c r="B94" s="400" t="s">
        <v>253</v>
      </c>
      <c r="C94" s="401" t="s">
        <v>433</v>
      </c>
      <c r="D94" s="378" t="s">
        <v>254</v>
      </c>
      <c r="E94" s="377">
        <v>4502</v>
      </c>
      <c r="F94" s="378" t="s">
        <v>97</v>
      </c>
      <c r="G94" s="377" t="s">
        <v>434</v>
      </c>
      <c r="H94" s="362" t="s">
        <v>183</v>
      </c>
      <c r="I94" s="377" t="s">
        <v>455</v>
      </c>
      <c r="J94" s="362" t="s">
        <v>446</v>
      </c>
      <c r="K94" s="358">
        <v>1</v>
      </c>
      <c r="L94" s="358"/>
      <c r="M94" s="358">
        <f t="shared" si="11"/>
        <v>1</v>
      </c>
      <c r="N94" s="327">
        <v>2024003630083</v>
      </c>
      <c r="O94" s="362" t="s">
        <v>436</v>
      </c>
      <c r="P94" s="46" t="s">
        <v>456</v>
      </c>
      <c r="Q94" s="363">
        <v>100000000</v>
      </c>
      <c r="R94" s="406">
        <f>8000000+11200000+6000000</f>
        <v>25200000</v>
      </c>
      <c r="S94" s="406"/>
      <c r="T94" s="406"/>
      <c r="U94" s="936">
        <f>+Q94-R94+S94-T94</f>
        <v>74800000</v>
      </c>
      <c r="V94" s="353" t="s">
        <v>438</v>
      </c>
      <c r="W94" s="377">
        <v>20</v>
      </c>
      <c r="X94" s="378" t="s">
        <v>67</v>
      </c>
      <c r="Y94" s="350">
        <v>86604</v>
      </c>
      <c r="Z94" s="350">
        <v>57740</v>
      </c>
      <c r="AA94" s="350">
        <v>32000</v>
      </c>
      <c r="AB94" s="350">
        <v>9000</v>
      </c>
      <c r="AC94" s="350">
        <v>73344</v>
      </c>
      <c r="AD94" s="350">
        <v>30000</v>
      </c>
      <c r="AE94" s="350">
        <v>10000</v>
      </c>
      <c r="AF94" s="350">
        <v>10000</v>
      </c>
      <c r="AG94" s="351">
        <v>100</v>
      </c>
      <c r="AH94" s="351">
        <v>100</v>
      </c>
      <c r="AI94" s="371">
        <v>104000</v>
      </c>
      <c r="AJ94" s="351">
        <v>144</v>
      </c>
      <c r="AK94" s="371">
        <v>5000</v>
      </c>
      <c r="AL94" s="371">
        <v>9000</v>
      </c>
      <c r="AM94" s="351">
        <v>6000</v>
      </c>
      <c r="AN94" s="350">
        <f t="shared" si="8"/>
        <v>144344</v>
      </c>
      <c r="AO94" s="372">
        <v>45658</v>
      </c>
      <c r="AP94" s="372">
        <v>46022</v>
      </c>
      <c r="AQ94" s="352" t="s">
        <v>261</v>
      </c>
    </row>
    <row r="95" spans="1:43" s="45" customFormat="1" ht="97.35" customHeight="1">
      <c r="A95" s="399">
        <v>4</v>
      </c>
      <c r="B95" s="400" t="s">
        <v>253</v>
      </c>
      <c r="C95" s="401" t="s">
        <v>433</v>
      </c>
      <c r="D95" s="378" t="s">
        <v>254</v>
      </c>
      <c r="E95" s="377">
        <v>4502</v>
      </c>
      <c r="F95" s="378" t="s">
        <v>97</v>
      </c>
      <c r="G95" s="377" t="s">
        <v>434</v>
      </c>
      <c r="H95" s="362" t="s">
        <v>183</v>
      </c>
      <c r="I95" s="377">
        <v>450200111</v>
      </c>
      <c r="J95" s="362" t="s">
        <v>446</v>
      </c>
      <c r="K95" s="358">
        <v>1</v>
      </c>
      <c r="L95" s="358"/>
      <c r="M95" s="358">
        <f t="shared" si="11"/>
        <v>1</v>
      </c>
      <c r="N95" s="327">
        <v>2024003630083</v>
      </c>
      <c r="O95" s="362" t="s">
        <v>436</v>
      </c>
      <c r="P95" s="46" t="s">
        <v>457</v>
      </c>
      <c r="Q95" s="363">
        <v>40000000</v>
      </c>
      <c r="R95" s="406">
        <f>2000000</f>
        <v>2000000</v>
      </c>
      <c r="S95" s="406"/>
      <c r="T95" s="406"/>
      <c r="U95" s="936">
        <f>+Q95-R95+S95-T95</f>
        <v>38000000</v>
      </c>
      <c r="V95" s="353" t="s">
        <v>438</v>
      </c>
      <c r="W95" s="377">
        <v>20</v>
      </c>
      <c r="X95" s="378" t="s">
        <v>67</v>
      </c>
      <c r="Y95" s="350">
        <v>86604</v>
      </c>
      <c r="Z95" s="350">
        <v>57740</v>
      </c>
      <c r="AA95" s="350">
        <v>32000</v>
      </c>
      <c r="AB95" s="350">
        <v>9000</v>
      </c>
      <c r="AC95" s="350">
        <v>73344</v>
      </c>
      <c r="AD95" s="350">
        <v>30000</v>
      </c>
      <c r="AE95" s="350">
        <v>10000</v>
      </c>
      <c r="AF95" s="350">
        <v>10000</v>
      </c>
      <c r="AG95" s="351">
        <v>100</v>
      </c>
      <c r="AH95" s="351">
        <v>100</v>
      </c>
      <c r="AI95" s="371">
        <v>104000</v>
      </c>
      <c r="AJ95" s="351">
        <v>144</v>
      </c>
      <c r="AK95" s="371">
        <v>5000</v>
      </c>
      <c r="AL95" s="371">
        <v>9000</v>
      </c>
      <c r="AM95" s="351">
        <v>6000</v>
      </c>
      <c r="AN95" s="350">
        <f t="shared" si="8"/>
        <v>144344</v>
      </c>
      <c r="AO95" s="372">
        <v>45658</v>
      </c>
      <c r="AP95" s="372">
        <v>46022</v>
      </c>
      <c r="AQ95" s="352" t="s">
        <v>261</v>
      </c>
    </row>
    <row r="96" spans="1:43" s="45" customFormat="1" ht="97.35" customHeight="1">
      <c r="A96" s="399">
        <v>4</v>
      </c>
      <c r="B96" s="400" t="s">
        <v>253</v>
      </c>
      <c r="C96" s="401" t="s">
        <v>433</v>
      </c>
      <c r="D96" s="378" t="s">
        <v>254</v>
      </c>
      <c r="E96" s="377">
        <v>4502</v>
      </c>
      <c r="F96" s="378" t="s">
        <v>97</v>
      </c>
      <c r="G96" s="377" t="s">
        <v>434</v>
      </c>
      <c r="H96" s="362" t="s">
        <v>183</v>
      </c>
      <c r="I96" s="377">
        <v>450200111</v>
      </c>
      <c r="J96" s="362" t="s">
        <v>446</v>
      </c>
      <c r="K96" s="358">
        <v>1</v>
      </c>
      <c r="L96" s="358"/>
      <c r="M96" s="358">
        <f t="shared" si="11"/>
        <v>1</v>
      </c>
      <c r="N96" s="327">
        <v>2024003630083</v>
      </c>
      <c r="O96" s="362" t="s">
        <v>436</v>
      </c>
      <c r="P96" s="46" t="s">
        <v>458</v>
      </c>
      <c r="Q96" s="363">
        <v>40000000</v>
      </c>
      <c r="R96" s="406"/>
      <c r="S96" s="406"/>
      <c r="T96" s="406"/>
      <c r="U96" s="936">
        <f>+Q96-R96+S96-T96</f>
        <v>40000000</v>
      </c>
      <c r="V96" s="353" t="s">
        <v>438</v>
      </c>
      <c r="W96" s="377">
        <v>20</v>
      </c>
      <c r="X96" s="378" t="s">
        <v>67</v>
      </c>
      <c r="Y96" s="350">
        <v>86604</v>
      </c>
      <c r="Z96" s="350">
        <v>57740</v>
      </c>
      <c r="AA96" s="350">
        <v>32000</v>
      </c>
      <c r="AB96" s="350">
        <v>9000</v>
      </c>
      <c r="AC96" s="350">
        <v>73344</v>
      </c>
      <c r="AD96" s="350">
        <v>30000</v>
      </c>
      <c r="AE96" s="350">
        <v>10000</v>
      </c>
      <c r="AF96" s="350">
        <v>10000</v>
      </c>
      <c r="AG96" s="351">
        <v>100</v>
      </c>
      <c r="AH96" s="351">
        <v>100</v>
      </c>
      <c r="AI96" s="371">
        <v>104000</v>
      </c>
      <c r="AJ96" s="351">
        <v>144</v>
      </c>
      <c r="AK96" s="371">
        <v>5000</v>
      </c>
      <c r="AL96" s="371">
        <v>9000</v>
      </c>
      <c r="AM96" s="351">
        <v>6000</v>
      </c>
      <c r="AN96" s="350">
        <f t="shared" si="8"/>
        <v>144344</v>
      </c>
      <c r="AO96" s="372">
        <v>45658</v>
      </c>
      <c r="AP96" s="372">
        <v>46022</v>
      </c>
      <c r="AQ96" s="352" t="s">
        <v>261</v>
      </c>
    </row>
    <row r="97" spans="1:43" s="45" customFormat="1" ht="97.35" customHeight="1">
      <c r="A97" s="399">
        <v>4</v>
      </c>
      <c r="B97" s="400" t="s">
        <v>253</v>
      </c>
      <c r="C97" s="401" t="s">
        <v>433</v>
      </c>
      <c r="D97" s="378" t="s">
        <v>254</v>
      </c>
      <c r="E97" s="377">
        <v>4502</v>
      </c>
      <c r="F97" s="378" t="s">
        <v>97</v>
      </c>
      <c r="G97" s="377" t="s">
        <v>434</v>
      </c>
      <c r="H97" s="362" t="s">
        <v>183</v>
      </c>
      <c r="I97" s="377">
        <v>450200111</v>
      </c>
      <c r="J97" s="362" t="s">
        <v>446</v>
      </c>
      <c r="K97" s="358">
        <v>1</v>
      </c>
      <c r="L97" s="358"/>
      <c r="M97" s="358">
        <f t="shared" si="11"/>
        <v>1</v>
      </c>
      <c r="N97" s="327">
        <v>2024003630083</v>
      </c>
      <c r="O97" s="362" t="s">
        <v>436</v>
      </c>
      <c r="P97" s="46" t="s">
        <v>459</v>
      </c>
      <c r="Q97" s="363">
        <v>37000000</v>
      </c>
      <c r="R97" s="406">
        <f>3300000</f>
        <v>3300000</v>
      </c>
      <c r="S97" s="406"/>
      <c r="T97" s="406"/>
      <c r="U97" s="936">
        <f>+Q97-R97+S97-T97</f>
        <v>33700000</v>
      </c>
      <c r="V97" s="353" t="s">
        <v>438</v>
      </c>
      <c r="W97" s="377">
        <v>20</v>
      </c>
      <c r="X97" s="378" t="s">
        <v>67</v>
      </c>
      <c r="Y97" s="350">
        <v>86604</v>
      </c>
      <c r="Z97" s="350">
        <v>57740</v>
      </c>
      <c r="AA97" s="350">
        <v>32000</v>
      </c>
      <c r="AB97" s="350">
        <v>9000</v>
      </c>
      <c r="AC97" s="350">
        <v>73344</v>
      </c>
      <c r="AD97" s="350">
        <v>30000</v>
      </c>
      <c r="AE97" s="350">
        <v>10000</v>
      </c>
      <c r="AF97" s="350">
        <v>10000</v>
      </c>
      <c r="AG97" s="351">
        <v>100</v>
      </c>
      <c r="AH97" s="351">
        <v>100</v>
      </c>
      <c r="AI97" s="371">
        <v>104000</v>
      </c>
      <c r="AJ97" s="351">
        <v>144</v>
      </c>
      <c r="AK97" s="371">
        <v>5000</v>
      </c>
      <c r="AL97" s="371">
        <v>9000</v>
      </c>
      <c r="AM97" s="351">
        <v>6000</v>
      </c>
      <c r="AN97" s="350">
        <f t="shared" si="8"/>
        <v>144344</v>
      </c>
      <c r="AO97" s="372">
        <v>45658</v>
      </c>
      <c r="AP97" s="372">
        <v>46022</v>
      </c>
      <c r="AQ97" s="352" t="s">
        <v>261</v>
      </c>
    </row>
    <row r="98" spans="1:43" s="45" customFormat="1" ht="72">
      <c r="A98" s="399">
        <v>4</v>
      </c>
      <c r="B98" s="400" t="s">
        <v>253</v>
      </c>
      <c r="C98" s="401">
        <v>45</v>
      </c>
      <c r="D98" s="362" t="s">
        <v>254</v>
      </c>
      <c r="E98" s="377">
        <v>4501</v>
      </c>
      <c r="F98" s="362" t="s">
        <v>416</v>
      </c>
      <c r="G98" s="377" t="s">
        <v>460</v>
      </c>
      <c r="H98" s="362" t="s">
        <v>461</v>
      </c>
      <c r="I98" s="377" t="s">
        <v>462</v>
      </c>
      <c r="J98" s="362" t="s">
        <v>463</v>
      </c>
      <c r="K98" s="358">
        <v>5</v>
      </c>
      <c r="L98" s="358"/>
      <c r="M98" s="358">
        <f>+K98+L98</f>
        <v>5</v>
      </c>
      <c r="N98" s="327">
        <v>2024003630090</v>
      </c>
      <c r="O98" s="362" t="s">
        <v>464</v>
      </c>
      <c r="P98" s="347" t="s">
        <v>465</v>
      </c>
      <c r="Q98" s="657">
        <v>3000000000</v>
      </c>
      <c r="R98" s="407"/>
      <c r="S98" s="407"/>
      <c r="T98" s="952">
        <v>1000000000</v>
      </c>
      <c r="U98" s="936">
        <f>+Q98-R98+S98-T98</f>
        <v>2000000000</v>
      </c>
      <c r="V98" s="327" t="s">
        <v>466</v>
      </c>
      <c r="W98" s="404">
        <v>42</v>
      </c>
      <c r="X98" s="378" t="s">
        <v>467</v>
      </c>
      <c r="Y98" s="371">
        <v>207313</v>
      </c>
      <c r="Z98" s="371">
        <v>195921</v>
      </c>
      <c r="AA98" s="371">
        <v>69341</v>
      </c>
      <c r="AB98" s="371">
        <v>30299</v>
      </c>
      <c r="AC98" s="371">
        <v>219930</v>
      </c>
      <c r="AD98" s="371">
        <v>83664</v>
      </c>
      <c r="AE98" s="371">
        <v>10000</v>
      </c>
      <c r="AF98" s="371">
        <v>8234</v>
      </c>
      <c r="AG98" s="371">
        <v>10</v>
      </c>
      <c r="AH98" s="371">
        <v>5</v>
      </c>
      <c r="AI98" s="371">
        <v>291595</v>
      </c>
      <c r="AJ98" s="371">
        <v>4</v>
      </c>
      <c r="AK98" s="371">
        <v>35658</v>
      </c>
      <c r="AL98" s="371">
        <v>19988</v>
      </c>
      <c r="AM98" s="371">
        <v>37740</v>
      </c>
      <c r="AN98" s="371">
        <f>+Y98+Z98</f>
        <v>403234</v>
      </c>
      <c r="AO98" s="372">
        <v>45658</v>
      </c>
      <c r="AP98" s="372">
        <v>46022</v>
      </c>
      <c r="AQ98" s="352" t="s">
        <v>261</v>
      </c>
    </row>
    <row r="99" spans="1:43" s="45" customFormat="1" ht="72">
      <c r="A99" s="399">
        <v>4</v>
      </c>
      <c r="B99" s="400" t="s">
        <v>253</v>
      </c>
      <c r="C99" s="401">
        <v>45</v>
      </c>
      <c r="D99" s="362" t="s">
        <v>254</v>
      </c>
      <c r="E99" s="377">
        <v>4501</v>
      </c>
      <c r="F99" s="362" t="s">
        <v>416</v>
      </c>
      <c r="G99" s="377" t="s">
        <v>460</v>
      </c>
      <c r="H99" s="362" t="s">
        <v>461</v>
      </c>
      <c r="I99" s="377" t="s">
        <v>462</v>
      </c>
      <c r="J99" s="362" t="s">
        <v>463</v>
      </c>
      <c r="K99" s="358">
        <v>5</v>
      </c>
      <c r="L99" s="358"/>
      <c r="M99" s="358">
        <f>+K99+L99</f>
        <v>5</v>
      </c>
      <c r="N99" s="327">
        <v>2024003630090</v>
      </c>
      <c r="O99" s="362" t="s">
        <v>464</v>
      </c>
      <c r="P99" s="347" t="s">
        <v>468</v>
      </c>
      <c r="Q99" s="658">
        <v>389850245.62544</v>
      </c>
      <c r="R99" s="407"/>
      <c r="S99" s="407"/>
      <c r="T99" s="408"/>
      <c r="U99" s="936">
        <f>+Q99-R99+S99-T99</f>
        <v>389850245.62544</v>
      </c>
      <c r="V99" s="349" t="s">
        <v>466</v>
      </c>
      <c r="W99" s="404" t="s">
        <v>469</v>
      </c>
      <c r="X99" s="378" t="s">
        <v>470</v>
      </c>
      <c r="Y99" s="371">
        <v>207313</v>
      </c>
      <c r="Z99" s="371">
        <v>195921</v>
      </c>
      <c r="AA99" s="371">
        <v>69341</v>
      </c>
      <c r="AB99" s="371">
        <v>30299</v>
      </c>
      <c r="AC99" s="371">
        <v>219930</v>
      </c>
      <c r="AD99" s="371">
        <v>83664</v>
      </c>
      <c r="AE99" s="371">
        <v>10000</v>
      </c>
      <c r="AF99" s="371">
        <v>8234</v>
      </c>
      <c r="AG99" s="371">
        <v>10</v>
      </c>
      <c r="AH99" s="371">
        <v>5</v>
      </c>
      <c r="AI99" s="371">
        <v>291595</v>
      </c>
      <c r="AJ99" s="371">
        <v>4</v>
      </c>
      <c r="AK99" s="371">
        <v>35658</v>
      </c>
      <c r="AL99" s="371">
        <v>19988</v>
      </c>
      <c r="AM99" s="371">
        <v>37740</v>
      </c>
      <c r="AN99" s="371">
        <f>+Y99+Z99</f>
        <v>403234</v>
      </c>
      <c r="AO99" s="372">
        <v>45658</v>
      </c>
      <c r="AP99" s="372">
        <v>46022</v>
      </c>
      <c r="AQ99" s="352" t="s">
        <v>261</v>
      </c>
    </row>
    <row r="100" spans="1:43" s="45" customFormat="1" ht="72">
      <c r="A100" s="399">
        <v>4</v>
      </c>
      <c r="B100" s="400" t="s">
        <v>253</v>
      </c>
      <c r="C100" s="401">
        <v>45</v>
      </c>
      <c r="D100" s="362" t="s">
        <v>254</v>
      </c>
      <c r="E100" s="377">
        <v>4501</v>
      </c>
      <c r="F100" s="362" t="s">
        <v>416</v>
      </c>
      <c r="G100" s="377" t="s">
        <v>460</v>
      </c>
      <c r="H100" s="362" t="s">
        <v>461</v>
      </c>
      <c r="I100" s="377" t="s">
        <v>462</v>
      </c>
      <c r="J100" s="362" t="s">
        <v>463</v>
      </c>
      <c r="K100" s="358">
        <v>5</v>
      </c>
      <c r="L100" s="358"/>
      <c r="M100" s="358">
        <f t="shared" ref="M100:M110" si="12">+K100+L100</f>
        <v>5</v>
      </c>
      <c r="N100" s="327">
        <v>2024003630090</v>
      </c>
      <c r="O100" s="362" t="s">
        <v>464</v>
      </c>
      <c r="P100" s="347" t="s">
        <v>471</v>
      </c>
      <c r="Q100" s="657">
        <v>155000000</v>
      </c>
      <c r="R100" s="407">
        <v>90951160.409999996</v>
      </c>
      <c r="S100" s="407"/>
      <c r="T100" s="408"/>
      <c r="U100" s="936">
        <f>+Q100-R100+S100-T100</f>
        <v>64048839.590000004</v>
      </c>
      <c r="V100" s="349" t="s">
        <v>472</v>
      </c>
      <c r="W100" s="404">
        <v>42</v>
      </c>
      <c r="X100" s="378" t="s">
        <v>467</v>
      </c>
      <c r="Y100" s="371">
        <v>207313</v>
      </c>
      <c r="Z100" s="371">
        <v>195921</v>
      </c>
      <c r="AA100" s="371">
        <v>69341</v>
      </c>
      <c r="AB100" s="371">
        <v>30299</v>
      </c>
      <c r="AC100" s="371">
        <v>219930</v>
      </c>
      <c r="AD100" s="371">
        <v>83664</v>
      </c>
      <c r="AE100" s="371">
        <v>10000</v>
      </c>
      <c r="AF100" s="371">
        <v>8234</v>
      </c>
      <c r="AG100" s="371">
        <v>10</v>
      </c>
      <c r="AH100" s="371">
        <v>5</v>
      </c>
      <c r="AI100" s="371">
        <v>291595</v>
      </c>
      <c r="AJ100" s="371">
        <v>4</v>
      </c>
      <c r="AK100" s="371">
        <v>35658</v>
      </c>
      <c r="AL100" s="371">
        <v>19988</v>
      </c>
      <c r="AM100" s="371">
        <v>37740</v>
      </c>
      <c r="AN100" s="371">
        <f t="shared" ref="AN100:AN115" si="13">+Y100+Z100</f>
        <v>403234</v>
      </c>
      <c r="AO100" s="372">
        <v>45658</v>
      </c>
      <c r="AP100" s="372">
        <v>46022</v>
      </c>
      <c r="AQ100" s="352" t="s">
        <v>261</v>
      </c>
    </row>
    <row r="101" spans="1:43" s="45" customFormat="1" ht="72">
      <c r="A101" s="399">
        <v>4</v>
      </c>
      <c r="B101" s="400" t="s">
        <v>253</v>
      </c>
      <c r="C101" s="401">
        <v>45</v>
      </c>
      <c r="D101" s="362" t="s">
        <v>254</v>
      </c>
      <c r="E101" s="377">
        <v>4501</v>
      </c>
      <c r="F101" s="362" t="s">
        <v>416</v>
      </c>
      <c r="G101" s="377" t="s">
        <v>460</v>
      </c>
      <c r="H101" s="362" t="s">
        <v>461</v>
      </c>
      <c r="I101" s="377" t="s">
        <v>462</v>
      </c>
      <c r="J101" s="362" t="s">
        <v>463</v>
      </c>
      <c r="K101" s="358">
        <v>5</v>
      </c>
      <c r="L101" s="358"/>
      <c r="M101" s="358">
        <f t="shared" si="12"/>
        <v>5</v>
      </c>
      <c r="N101" s="327">
        <v>2024003630090</v>
      </c>
      <c r="O101" s="362" t="s">
        <v>464</v>
      </c>
      <c r="P101" s="347" t="s">
        <v>473</v>
      </c>
      <c r="Q101" s="657">
        <v>200000000</v>
      </c>
      <c r="R101" s="407"/>
      <c r="S101" s="407"/>
      <c r="T101" s="408"/>
      <c r="U101" s="936">
        <f>+Q101-R101+S101-T101</f>
        <v>200000000</v>
      </c>
      <c r="V101" s="349" t="s">
        <v>474</v>
      </c>
      <c r="W101" s="404">
        <v>42</v>
      </c>
      <c r="X101" s="378" t="s">
        <v>467</v>
      </c>
      <c r="Y101" s="371">
        <v>207313</v>
      </c>
      <c r="Z101" s="371">
        <v>195921</v>
      </c>
      <c r="AA101" s="371">
        <v>69341</v>
      </c>
      <c r="AB101" s="371">
        <v>30299</v>
      </c>
      <c r="AC101" s="371">
        <v>219930</v>
      </c>
      <c r="AD101" s="371">
        <v>83664</v>
      </c>
      <c r="AE101" s="371">
        <v>10000</v>
      </c>
      <c r="AF101" s="371">
        <v>8234</v>
      </c>
      <c r="AG101" s="371">
        <v>10</v>
      </c>
      <c r="AH101" s="371">
        <v>5</v>
      </c>
      <c r="AI101" s="371">
        <v>291595</v>
      </c>
      <c r="AJ101" s="371">
        <v>4</v>
      </c>
      <c r="AK101" s="371">
        <v>35658</v>
      </c>
      <c r="AL101" s="371">
        <v>19988</v>
      </c>
      <c r="AM101" s="371">
        <v>37740</v>
      </c>
      <c r="AN101" s="371">
        <f t="shared" si="13"/>
        <v>403234</v>
      </c>
      <c r="AO101" s="372">
        <v>45658</v>
      </c>
      <c r="AP101" s="372">
        <v>46022</v>
      </c>
      <c r="AQ101" s="352" t="s">
        <v>261</v>
      </c>
    </row>
    <row r="102" spans="1:43" s="45" customFormat="1" ht="72">
      <c r="A102" s="399">
        <v>4</v>
      </c>
      <c r="B102" s="400" t="s">
        <v>253</v>
      </c>
      <c r="C102" s="401">
        <v>45</v>
      </c>
      <c r="D102" s="362" t="s">
        <v>254</v>
      </c>
      <c r="E102" s="377">
        <v>4501</v>
      </c>
      <c r="F102" s="362" t="s">
        <v>416</v>
      </c>
      <c r="G102" s="377" t="s">
        <v>460</v>
      </c>
      <c r="H102" s="362" t="s">
        <v>461</v>
      </c>
      <c r="I102" s="377" t="s">
        <v>462</v>
      </c>
      <c r="J102" s="362" t="s">
        <v>463</v>
      </c>
      <c r="K102" s="358">
        <v>5</v>
      </c>
      <c r="L102" s="358"/>
      <c r="M102" s="358">
        <f t="shared" si="12"/>
        <v>5</v>
      </c>
      <c r="N102" s="327">
        <v>2024003630090</v>
      </c>
      <c r="O102" s="362" t="s">
        <v>464</v>
      </c>
      <c r="P102" s="347" t="s">
        <v>475</v>
      </c>
      <c r="Q102" s="657">
        <v>200000000</v>
      </c>
      <c r="R102" s="407">
        <v>182566842</v>
      </c>
      <c r="S102" s="407"/>
      <c r="T102" s="408"/>
      <c r="U102" s="936">
        <f>+Q102-R102+S102-T102</f>
        <v>17433158</v>
      </c>
      <c r="V102" s="349" t="s">
        <v>476</v>
      </c>
      <c r="W102" s="404">
        <v>42</v>
      </c>
      <c r="X102" s="378" t="s">
        <v>467</v>
      </c>
      <c r="Y102" s="371">
        <v>207313</v>
      </c>
      <c r="Z102" s="371">
        <v>195921</v>
      </c>
      <c r="AA102" s="371">
        <v>69341</v>
      </c>
      <c r="AB102" s="371">
        <v>30299</v>
      </c>
      <c r="AC102" s="371">
        <v>219930</v>
      </c>
      <c r="AD102" s="371">
        <v>83664</v>
      </c>
      <c r="AE102" s="371">
        <v>10000</v>
      </c>
      <c r="AF102" s="371">
        <v>8234</v>
      </c>
      <c r="AG102" s="371">
        <v>10</v>
      </c>
      <c r="AH102" s="371">
        <v>5</v>
      </c>
      <c r="AI102" s="371">
        <v>291595</v>
      </c>
      <c r="AJ102" s="371">
        <v>4</v>
      </c>
      <c r="AK102" s="371">
        <v>35658</v>
      </c>
      <c r="AL102" s="371">
        <v>19988</v>
      </c>
      <c r="AM102" s="371">
        <v>37740</v>
      </c>
      <c r="AN102" s="371">
        <f t="shared" si="13"/>
        <v>403234</v>
      </c>
      <c r="AO102" s="372">
        <v>45658</v>
      </c>
      <c r="AP102" s="372">
        <v>46022</v>
      </c>
      <c r="AQ102" s="352" t="s">
        <v>261</v>
      </c>
    </row>
    <row r="103" spans="1:43" s="45" customFormat="1" ht="72">
      <c r="A103" s="399">
        <v>4</v>
      </c>
      <c r="B103" s="400" t="s">
        <v>253</v>
      </c>
      <c r="C103" s="401">
        <v>45</v>
      </c>
      <c r="D103" s="362" t="s">
        <v>254</v>
      </c>
      <c r="E103" s="377">
        <v>4501</v>
      </c>
      <c r="F103" s="362" t="s">
        <v>416</v>
      </c>
      <c r="G103" s="377" t="s">
        <v>460</v>
      </c>
      <c r="H103" s="362" t="s">
        <v>461</v>
      </c>
      <c r="I103" s="377" t="s">
        <v>462</v>
      </c>
      <c r="J103" s="362" t="s">
        <v>463</v>
      </c>
      <c r="K103" s="358">
        <v>5</v>
      </c>
      <c r="L103" s="358"/>
      <c r="M103" s="358">
        <f t="shared" si="12"/>
        <v>5</v>
      </c>
      <c r="N103" s="327">
        <v>2024003630090</v>
      </c>
      <c r="O103" s="362" t="s">
        <v>464</v>
      </c>
      <c r="P103" s="347" t="s">
        <v>477</v>
      </c>
      <c r="Q103" s="657">
        <v>100000000</v>
      </c>
      <c r="R103" s="407"/>
      <c r="S103" s="407"/>
      <c r="T103" s="408"/>
      <c r="U103" s="936">
        <f>+Q103-R103+S103-T103</f>
        <v>100000000</v>
      </c>
      <c r="V103" s="349" t="s">
        <v>478</v>
      </c>
      <c r="W103" s="404" t="s">
        <v>469</v>
      </c>
      <c r="X103" s="378" t="s">
        <v>467</v>
      </c>
      <c r="Y103" s="371">
        <v>207313</v>
      </c>
      <c r="Z103" s="371">
        <v>195921</v>
      </c>
      <c r="AA103" s="371">
        <v>69341</v>
      </c>
      <c r="AB103" s="371">
        <v>30299</v>
      </c>
      <c r="AC103" s="371">
        <v>219930</v>
      </c>
      <c r="AD103" s="371">
        <v>83664</v>
      </c>
      <c r="AE103" s="371">
        <v>10000</v>
      </c>
      <c r="AF103" s="371">
        <v>8234</v>
      </c>
      <c r="AG103" s="371">
        <v>10</v>
      </c>
      <c r="AH103" s="371">
        <v>5</v>
      </c>
      <c r="AI103" s="371">
        <v>291595</v>
      </c>
      <c r="AJ103" s="371">
        <v>4</v>
      </c>
      <c r="AK103" s="371">
        <v>35658</v>
      </c>
      <c r="AL103" s="371">
        <v>19988</v>
      </c>
      <c r="AM103" s="371">
        <v>37740</v>
      </c>
      <c r="AN103" s="371">
        <f t="shared" si="13"/>
        <v>403234</v>
      </c>
      <c r="AO103" s="372">
        <v>45658</v>
      </c>
      <c r="AP103" s="372">
        <v>46022</v>
      </c>
      <c r="AQ103" s="352" t="s">
        <v>261</v>
      </c>
    </row>
    <row r="104" spans="1:43" s="45" customFormat="1" ht="72">
      <c r="A104" s="399">
        <v>4</v>
      </c>
      <c r="B104" s="400" t="s">
        <v>253</v>
      </c>
      <c r="C104" s="401">
        <v>45</v>
      </c>
      <c r="D104" s="362" t="s">
        <v>254</v>
      </c>
      <c r="E104" s="377">
        <v>4501</v>
      </c>
      <c r="F104" s="362" t="s">
        <v>416</v>
      </c>
      <c r="G104" s="377" t="s">
        <v>460</v>
      </c>
      <c r="H104" s="362" t="s">
        <v>461</v>
      </c>
      <c r="I104" s="377" t="s">
        <v>462</v>
      </c>
      <c r="J104" s="362" t="s">
        <v>463</v>
      </c>
      <c r="K104" s="358">
        <v>5</v>
      </c>
      <c r="L104" s="358"/>
      <c r="M104" s="358">
        <f t="shared" si="12"/>
        <v>5</v>
      </c>
      <c r="N104" s="327">
        <v>2024003630090</v>
      </c>
      <c r="O104" s="362" t="s">
        <v>464</v>
      </c>
      <c r="P104" s="347" t="s">
        <v>479</v>
      </c>
      <c r="Q104" s="657">
        <v>300000000</v>
      </c>
      <c r="R104" s="407"/>
      <c r="S104" s="407"/>
      <c r="T104" s="408"/>
      <c r="U104" s="936">
        <f>+Q104-R104+S104-T104</f>
        <v>300000000</v>
      </c>
      <c r="V104" s="353" t="s">
        <v>474</v>
      </c>
      <c r="W104" s="404">
        <v>42</v>
      </c>
      <c r="X104" s="378" t="s">
        <v>467</v>
      </c>
      <c r="Y104" s="371">
        <v>207313</v>
      </c>
      <c r="Z104" s="371">
        <v>195921</v>
      </c>
      <c r="AA104" s="371">
        <v>69341</v>
      </c>
      <c r="AB104" s="371">
        <v>30299</v>
      </c>
      <c r="AC104" s="371">
        <v>219930</v>
      </c>
      <c r="AD104" s="371">
        <v>83664</v>
      </c>
      <c r="AE104" s="371">
        <v>10000</v>
      </c>
      <c r="AF104" s="371">
        <v>8234</v>
      </c>
      <c r="AG104" s="371">
        <v>10</v>
      </c>
      <c r="AH104" s="371">
        <v>5</v>
      </c>
      <c r="AI104" s="371">
        <v>291595</v>
      </c>
      <c r="AJ104" s="371">
        <v>4</v>
      </c>
      <c r="AK104" s="371">
        <v>35658</v>
      </c>
      <c r="AL104" s="371">
        <v>19988</v>
      </c>
      <c r="AM104" s="371">
        <v>37740</v>
      </c>
      <c r="AN104" s="371">
        <f t="shared" si="13"/>
        <v>403234</v>
      </c>
      <c r="AO104" s="372">
        <v>45658</v>
      </c>
      <c r="AP104" s="372">
        <v>46022</v>
      </c>
      <c r="AQ104" s="352" t="s">
        <v>261</v>
      </c>
    </row>
    <row r="105" spans="1:43" s="45" customFormat="1" ht="72">
      <c r="A105" s="399">
        <v>4</v>
      </c>
      <c r="B105" s="400" t="s">
        <v>253</v>
      </c>
      <c r="C105" s="401">
        <v>45</v>
      </c>
      <c r="D105" s="362" t="s">
        <v>254</v>
      </c>
      <c r="E105" s="377">
        <v>4501</v>
      </c>
      <c r="F105" s="362" t="s">
        <v>416</v>
      </c>
      <c r="G105" s="377" t="s">
        <v>460</v>
      </c>
      <c r="H105" s="362" t="s">
        <v>461</v>
      </c>
      <c r="I105" s="377" t="s">
        <v>462</v>
      </c>
      <c r="J105" s="362" t="s">
        <v>463</v>
      </c>
      <c r="K105" s="358">
        <v>5</v>
      </c>
      <c r="L105" s="358"/>
      <c r="M105" s="358">
        <f t="shared" si="12"/>
        <v>5</v>
      </c>
      <c r="N105" s="327">
        <v>2024003630090</v>
      </c>
      <c r="O105" s="362" t="s">
        <v>464</v>
      </c>
      <c r="P105" s="46" t="s">
        <v>480</v>
      </c>
      <c r="Q105" s="657">
        <v>130000000</v>
      </c>
      <c r="R105" s="407">
        <f>16000000+7400000</f>
        <v>23400000</v>
      </c>
      <c r="S105" s="407">
        <v>7400000</v>
      </c>
      <c r="T105" s="408"/>
      <c r="U105" s="936">
        <f>+Q105-R105+S105-T105</f>
        <v>114000000</v>
      </c>
      <c r="V105" s="353" t="s">
        <v>481</v>
      </c>
      <c r="W105" s="404">
        <v>42</v>
      </c>
      <c r="X105" s="378" t="s">
        <v>467</v>
      </c>
      <c r="Y105" s="371">
        <v>207313</v>
      </c>
      <c r="Z105" s="371">
        <v>195921</v>
      </c>
      <c r="AA105" s="371">
        <v>69341</v>
      </c>
      <c r="AB105" s="371">
        <v>30299</v>
      </c>
      <c r="AC105" s="371">
        <v>219930</v>
      </c>
      <c r="AD105" s="371">
        <v>83664</v>
      </c>
      <c r="AE105" s="371">
        <v>10000</v>
      </c>
      <c r="AF105" s="371">
        <v>8234</v>
      </c>
      <c r="AG105" s="371">
        <v>10</v>
      </c>
      <c r="AH105" s="371">
        <v>5</v>
      </c>
      <c r="AI105" s="371">
        <v>291595</v>
      </c>
      <c r="AJ105" s="371">
        <v>4</v>
      </c>
      <c r="AK105" s="371">
        <v>35658</v>
      </c>
      <c r="AL105" s="371">
        <v>19988</v>
      </c>
      <c r="AM105" s="371">
        <v>37740</v>
      </c>
      <c r="AN105" s="371">
        <f t="shared" si="13"/>
        <v>403234</v>
      </c>
      <c r="AO105" s="372">
        <v>45658</v>
      </c>
      <c r="AP105" s="372">
        <v>46022</v>
      </c>
      <c r="AQ105" s="352" t="s">
        <v>261</v>
      </c>
    </row>
    <row r="106" spans="1:43" s="45" customFormat="1" ht="72">
      <c r="A106" s="399">
        <v>4</v>
      </c>
      <c r="B106" s="400" t="s">
        <v>253</v>
      </c>
      <c r="C106" s="401">
        <v>45</v>
      </c>
      <c r="D106" s="362" t="s">
        <v>254</v>
      </c>
      <c r="E106" s="377">
        <v>4501</v>
      </c>
      <c r="F106" s="362" t="s">
        <v>416</v>
      </c>
      <c r="G106" s="377" t="s">
        <v>460</v>
      </c>
      <c r="H106" s="362" t="s">
        <v>461</v>
      </c>
      <c r="I106" s="377" t="s">
        <v>462</v>
      </c>
      <c r="J106" s="362" t="s">
        <v>463</v>
      </c>
      <c r="K106" s="358">
        <v>5</v>
      </c>
      <c r="L106" s="358"/>
      <c r="M106" s="358">
        <f t="shared" si="12"/>
        <v>5</v>
      </c>
      <c r="N106" s="327">
        <v>2024003630090</v>
      </c>
      <c r="O106" s="362" t="s">
        <v>464</v>
      </c>
      <c r="P106" s="46" t="s">
        <v>482</v>
      </c>
      <c r="Q106" s="396">
        <v>25000000</v>
      </c>
      <c r="R106" s="407"/>
      <c r="S106" s="407"/>
      <c r="T106" s="408"/>
      <c r="U106" s="936">
        <f>+Q106-R106+S106-T106</f>
        <v>25000000</v>
      </c>
      <c r="V106" s="353" t="s">
        <v>483</v>
      </c>
      <c r="W106" s="404" t="s">
        <v>385</v>
      </c>
      <c r="X106" s="378" t="s">
        <v>67</v>
      </c>
      <c r="Y106" s="371">
        <v>207313</v>
      </c>
      <c r="Z106" s="371">
        <v>195921</v>
      </c>
      <c r="AA106" s="371">
        <v>69341</v>
      </c>
      <c r="AB106" s="371">
        <v>30299</v>
      </c>
      <c r="AC106" s="371">
        <v>219930</v>
      </c>
      <c r="AD106" s="371">
        <v>83664</v>
      </c>
      <c r="AE106" s="371">
        <v>10000</v>
      </c>
      <c r="AF106" s="371">
        <v>8234</v>
      </c>
      <c r="AG106" s="371">
        <v>10</v>
      </c>
      <c r="AH106" s="371">
        <v>5</v>
      </c>
      <c r="AI106" s="371">
        <v>291595</v>
      </c>
      <c r="AJ106" s="371">
        <v>4</v>
      </c>
      <c r="AK106" s="371">
        <v>35658</v>
      </c>
      <c r="AL106" s="371">
        <v>19988</v>
      </c>
      <c r="AM106" s="371">
        <v>37740</v>
      </c>
      <c r="AN106" s="371">
        <f t="shared" si="13"/>
        <v>403234</v>
      </c>
      <c r="AO106" s="372">
        <v>45658</v>
      </c>
      <c r="AP106" s="372">
        <v>46022</v>
      </c>
      <c r="AQ106" s="352" t="s">
        <v>261</v>
      </c>
    </row>
    <row r="107" spans="1:43" s="45" customFormat="1" ht="72">
      <c r="A107" s="399">
        <v>4</v>
      </c>
      <c r="B107" s="400" t="s">
        <v>253</v>
      </c>
      <c r="C107" s="401">
        <v>45</v>
      </c>
      <c r="D107" s="362" t="s">
        <v>254</v>
      </c>
      <c r="E107" s="377">
        <v>4501</v>
      </c>
      <c r="F107" s="362" t="s">
        <v>416</v>
      </c>
      <c r="G107" s="377" t="s">
        <v>460</v>
      </c>
      <c r="H107" s="362" t="s">
        <v>461</v>
      </c>
      <c r="I107" s="377" t="s">
        <v>462</v>
      </c>
      <c r="J107" s="362" t="s">
        <v>463</v>
      </c>
      <c r="K107" s="358">
        <v>5</v>
      </c>
      <c r="L107" s="358"/>
      <c r="M107" s="358">
        <f t="shared" si="12"/>
        <v>5</v>
      </c>
      <c r="N107" s="327">
        <v>2024003630090</v>
      </c>
      <c r="O107" s="362" t="s">
        <v>464</v>
      </c>
      <c r="P107" s="46" t="s">
        <v>484</v>
      </c>
      <c r="Q107" s="657">
        <v>15000000</v>
      </c>
      <c r="R107" s="407"/>
      <c r="S107" s="407"/>
      <c r="T107" s="408"/>
      <c r="U107" s="936">
        <f>+Q107-R107+S107-T107</f>
        <v>15000000</v>
      </c>
      <c r="V107" s="353" t="s">
        <v>481</v>
      </c>
      <c r="W107" s="404">
        <v>42</v>
      </c>
      <c r="X107" s="378" t="s">
        <v>467</v>
      </c>
      <c r="Y107" s="371">
        <v>207313</v>
      </c>
      <c r="Z107" s="371">
        <v>195921</v>
      </c>
      <c r="AA107" s="371">
        <v>69341</v>
      </c>
      <c r="AB107" s="371">
        <v>30299</v>
      </c>
      <c r="AC107" s="371">
        <v>219930</v>
      </c>
      <c r="AD107" s="371">
        <v>83664</v>
      </c>
      <c r="AE107" s="371">
        <v>10000</v>
      </c>
      <c r="AF107" s="371">
        <v>8234</v>
      </c>
      <c r="AG107" s="371">
        <v>10</v>
      </c>
      <c r="AH107" s="371">
        <v>5</v>
      </c>
      <c r="AI107" s="371">
        <v>291595</v>
      </c>
      <c r="AJ107" s="371">
        <v>4</v>
      </c>
      <c r="AK107" s="371">
        <v>35658</v>
      </c>
      <c r="AL107" s="371">
        <v>19988</v>
      </c>
      <c r="AM107" s="371">
        <v>37740</v>
      </c>
      <c r="AN107" s="371">
        <f t="shared" si="13"/>
        <v>403234</v>
      </c>
      <c r="AO107" s="372">
        <v>45658</v>
      </c>
      <c r="AP107" s="372">
        <v>46022</v>
      </c>
      <c r="AQ107" s="352" t="s">
        <v>261</v>
      </c>
    </row>
    <row r="108" spans="1:43" s="45" customFormat="1" ht="72">
      <c r="A108" s="399">
        <v>4</v>
      </c>
      <c r="B108" s="400" t="s">
        <v>253</v>
      </c>
      <c r="C108" s="401">
        <v>45</v>
      </c>
      <c r="D108" s="362" t="s">
        <v>254</v>
      </c>
      <c r="E108" s="377">
        <v>4501</v>
      </c>
      <c r="F108" s="362" t="s">
        <v>416</v>
      </c>
      <c r="G108" s="377" t="s">
        <v>460</v>
      </c>
      <c r="H108" s="362" t="s">
        <v>461</v>
      </c>
      <c r="I108" s="377" t="s">
        <v>462</v>
      </c>
      <c r="J108" s="362" t="s">
        <v>463</v>
      </c>
      <c r="K108" s="358">
        <v>5</v>
      </c>
      <c r="L108" s="358"/>
      <c r="M108" s="358">
        <f t="shared" si="12"/>
        <v>5</v>
      </c>
      <c r="N108" s="327">
        <v>2024003630090</v>
      </c>
      <c r="O108" s="362" t="s">
        <v>464</v>
      </c>
      <c r="P108" s="46" t="s">
        <v>485</v>
      </c>
      <c r="Q108" s="657">
        <v>150000000</v>
      </c>
      <c r="R108" s="407"/>
      <c r="S108" s="407"/>
      <c r="T108" s="408"/>
      <c r="U108" s="936">
        <f>+Q108-R108+S108-T108</f>
        <v>150000000</v>
      </c>
      <c r="V108" s="353" t="s">
        <v>481</v>
      </c>
      <c r="W108" s="404">
        <v>42</v>
      </c>
      <c r="X108" s="378" t="s">
        <v>467</v>
      </c>
      <c r="Y108" s="371">
        <v>207313</v>
      </c>
      <c r="Z108" s="371">
        <v>195921</v>
      </c>
      <c r="AA108" s="371">
        <v>69341</v>
      </c>
      <c r="AB108" s="371">
        <v>30299</v>
      </c>
      <c r="AC108" s="371">
        <v>219930</v>
      </c>
      <c r="AD108" s="371">
        <v>83664</v>
      </c>
      <c r="AE108" s="371">
        <v>10000</v>
      </c>
      <c r="AF108" s="371">
        <v>8234</v>
      </c>
      <c r="AG108" s="371">
        <v>10</v>
      </c>
      <c r="AH108" s="371">
        <v>5</v>
      </c>
      <c r="AI108" s="371">
        <v>291595</v>
      </c>
      <c r="AJ108" s="371">
        <v>4</v>
      </c>
      <c r="AK108" s="371">
        <v>35658</v>
      </c>
      <c r="AL108" s="371">
        <v>19988</v>
      </c>
      <c r="AM108" s="371">
        <v>37740</v>
      </c>
      <c r="AN108" s="371">
        <f t="shared" si="13"/>
        <v>403234</v>
      </c>
      <c r="AO108" s="372">
        <v>45658</v>
      </c>
      <c r="AP108" s="372">
        <v>46022</v>
      </c>
      <c r="AQ108" s="352" t="s">
        <v>261</v>
      </c>
    </row>
    <row r="109" spans="1:43" s="45" customFormat="1" ht="72">
      <c r="A109" s="399">
        <v>4</v>
      </c>
      <c r="B109" s="400" t="s">
        <v>253</v>
      </c>
      <c r="C109" s="401">
        <v>45</v>
      </c>
      <c r="D109" s="362" t="s">
        <v>254</v>
      </c>
      <c r="E109" s="377">
        <v>4501</v>
      </c>
      <c r="F109" s="362" t="s">
        <v>416</v>
      </c>
      <c r="G109" s="377" t="s">
        <v>460</v>
      </c>
      <c r="H109" s="362" t="s">
        <v>461</v>
      </c>
      <c r="I109" s="377" t="s">
        <v>462</v>
      </c>
      <c r="J109" s="362" t="s">
        <v>463</v>
      </c>
      <c r="K109" s="358">
        <v>5</v>
      </c>
      <c r="L109" s="358"/>
      <c r="M109" s="358">
        <f t="shared" si="12"/>
        <v>5</v>
      </c>
      <c r="N109" s="327">
        <v>2024003630090</v>
      </c>
      <c r="O109" s="362" t="s">
        <v>464</v>
      </c>
      <c r="P109" s="46" t="s">
        <v>486</v>
      </c>
      <c r="Q109" s="657">
        <v>50000000</v>
      </c>
      <c r="R109" s="407"/>
      <c r="S109" s="407"/>
      <c r="T109" s="408"/>
      <c r="U109" s="936">
        <f>+Q109-R109+S109-T109</f>
        <v>50000000</v>
      </c>
      <c r="V109" s="353" t="s">
        <v>487</v>
      </c>
      <c r="W109" s="404">
        <v>42</v>
      </c>
      <c r="X109" s="378" t="s">
        <v>467</v>
      </c>
      <c r="Y109" s="371">
        <v>207313</v>
      </c>
      <c r="Z109" s="371">
        <v>195921</v>
      </c>
      <c r="AA109" s="371">
        <v>69341</v>
      </c>
      <c r="AB109" s="371">
        <v>30299</v>
      </c>
      <c r="AC109" s="371">
        <v>219930</v>
      </c>
      <c r="AD109" s="371">
        <v>83664</v>
      </c>
      <c r="AE109" s="371">
        <v>10000</v>
      </c>
      <c r="AF109" s="371">
        <v>8234</v>
      </c>
      <c r="AG109" s="371">
        <v>10</v>
      </c>
      <c r="AH109" s="371">
        <v>5</v>
      </c>
      <c r="AI109" s="371">
        <v>291595</v>
      </c>
      <c r="AJ109" s="371">
        <v>4</v>
      </c>
      <c r="AK109" s="371">
        <v>35658</v>
      </c>
      <c r="AL109" s="371">
        <v>19988</v>
      </c>
      <c r="AM109" s="371">
        <v>37740</v>
      </c>
      <c r="AN109" s="371">
        <f t="shared" si="13"/>
        <v>403234</v>
      </c>
      <c r="AO109" s="372">
        <v>45658</v>
      </c>
      <c r="AP109" s="372">
        <v>46022</v>
      </c>
      <c r="AQ109" s="352" t="s">
        <v>261</v>
      </c>
    </row>
    <row r="110" spans="1:43" s="45" customFormat="1" ht="72">
      <c r="A110" s="399">
        <v>4</v>
      </c>
      <c r="B110" s="400" t="s">
        <v>253</v>
      </c>
      <c r="C110" s="401">
        <v>45</v>
      </c>
      <c r="D110" s="362" t="s">
        <v>254</v>
      </c>
      <c r="E110" s="377">
        <v>4501</v>
      </c>
      <c r="F110" s="362" t="s">
        <v>416</v>
      </c>
      <c r="G110" s="377" t="s">
        <v>460</v>
      </c>
      <c r="H110" s="362" t="s">
        <v>461</v>
      </c>
      <c r="I110" s="377" t="s">
        <v>462</v>
      </c>
      <c r="J110" s="362" t="s">
        <v>463</v>
      </c>
      <c r="K110" s="358">
        <v>5</v>
      </c>
      <c r="L110" s="358"/>
      <c r="M110" s="358">
        <f t="shared" si="12"/>
        <v>5</v>
      </c>
      <c r="N110" s="327">
        <v>2024003630090</v>
      </c>
      <c r="O110" s="362" t="s">
        <v>464</v>
      </c>
      <c r="P110" s="46" t="s">
        <v>488</v>
      </c>
      <c r="Q110" s="657">
        <v>800000000</v>
      </c>
      <c r="R110" s="407"/>
      <c r="S110" s="407"/>
      <c r="T110" s="408"/>
      <c r="U110" s="936">
        <f>+Q110-R110+S110-T110</f>
        <v>800000000</v>
      </c>
      <c r="V110" s="353" t="s">
        <v>481</v>
      </c>
      <c r="W110" s="404">
        <v>42</v>
      </c>
      <c r="X110" s="378" t="s">
        <v>467</v>
      </c>
      <c r="Y110" s="371">
        <v>207313</v>
      </c>
      <c r="Z110" s="371">
        <v>195921</v>
      </c>
      <c r="AA110" s="371">
        <v>69341</v>
      </c>
      <c r="AB110" s="371">
        <v>30299</v>
      </c>
      <c r="AC110" s="371">
        <v>219930</v>
      </c>
      <c r="AD110" s="371">
        <v>83664</v>
      </c>
      <c r="AE110" s="371">
        <v>10000</v>
      </c>
      <c r="AF110" s="371">
        <v>8234</v>
      </c>
      <c r="AG110" s="371">
        <v>10</v>
      </c>
      <c r="AH110" s="371">
        <v>5</v>
      </c>
      <c r="AI110" s="371">
        <v>291595</v>
      </c>
      <c r="AJ110" s="371">
        <v>4</v>
      </c>
      <c r="AK110" s="371">
        <v>35658</v>
      </c>
      <c r="AL110" s="371">
        <v>19988</v>
      </c>
      <c r="AM110" s="371">
        <v>37740</v>
      </c>
      <c r="AN110" s="371">
        <f t="shared" si="13"/>
        <v>403234</v>
      </c>
      <c r="AO110" s="372">
        <v>45658</v>
      </c>
      <c r="AP110" s="372">
        <v>46022</v>
      </c>
      <c r="AQ110" s="352" t="s">
        <v>261</v>
      </c>
    </row>
    <row r="111" spans="1:43" s="45" customFormat="1" ht="60">
      <c r="A111" s="399">
        <v>4</v>
      </c>
      <c r="B111" s="400" t="s">
        <v>253</v>
      </c>
      <c r="C111" s="401" t="s">
        <v>433</v>
      </c>
      <c r="D111" s="362" t="s">
        <v>254</v>
      </c>
      <c r="E111" s="377" t="s">
        <v>489</v>
      </c>
      <c r="F111" s="362" t="s">
        <v>60</v>
      </c>
      <c r="G111" s="377" t="s">
        <v>490</v>
      </c>
      <c r="H111" s="362" t="s">
        <v>491</v>
      </c>
      <c r="I111" s="377" t="s">
        <v>492</v>
      </c>
      <c r="J111" s="362" t="s">
        <v>493</v>
      </c>
      <c r="K111" s="358">
        <v>1</v>
      </c>
      <c r="L111" s="358"/>
      <c r="M111" s="358">
        <f>+K111+L111</f>
        <v>1</v>
      </c>
      <c r="N111" s="327">
        <v>2024003630097</v>
      </c>
      <c r="O111" s="362" t="s">
        <v>494</v>
      </c>
      <c r="P111" s="347" t="s">
        <v>495</v>
      </c>
      <c r="Q111" s="402">
        <v>42000000</v>
      </c>
      <c r="R111" s="350"/>
      <c r="S111" s="350"/>
      <c r="T111" s="350"/>
      <c r="U111" s="936">
        <f>+Q111-R111+S111-T111</f>
        <v>42000000</v>
      </c>
      <c r="V111" s="349" t="s">
        <v>496</v>
      </c>
      <c r="W111" s="377">
        <v>20</v>
      </c>
      <c r="X111" s="378" t="s">
        <v>67</v>
      </c>
      <c r="Y111" s="371">
        <v>73104</v>
      </c>
      <c r="Z111" s="371">
        <v>90180</v>
      </c>
      <c r="AA111" s="371">
        <v>20000</v>
      </c>
      <c r="AB111" s="371">
        <v>22150</v>
      </c>
      <c r="AC111" s="371">
        <v>92134</v>
      </c>
      <c r="AD111" s="371">
        <v>29000</v>
      </c>
      <c r="AE111" s="371">
        <v>3500</v>
      </c>
      <c r="AF111" s="371">
        <v>5119</v>
      </c>
      <c r="AG111" s="371">
        <v>50</v>
      </c>
      <c r="AH111" s="371">
        <v>15</v>
      </c>
      <c r="AI111" s="371">
        <v>14000</v>
      </c>
      <c r="AJ111" s="371">
        <v>100</v>
      </c>
      <c r="AK111" s="371">
        <v>5200</v>
      </c>
      <c r="AL111" s="371">
        <v>3300</v>
      </c>
      <c r="AM111" s="371">
        <v>6000</v>
      </c>
      <c r="AN111" s="371">
        <f t="shared" si="13"/>
        <v>163284</v>
      </c>
      <c r="AO111" s="372">
        <v>45658</v>
      </c>
      <c r="AP111" s="372">
        <v>45688</v>
      </c>
      <c r="AQ111" s="352" t="s">
        <v>261</v>
      </c>
    </row>
    <row r="112" spans="1:43" s="45" customFormat="1" ht="60">
      <c r="A112" s="399">
        <v>4</v>
      </c>
      <c r="B112" s="400" t="s">
        <v>253</v>
      </c>
      <c r="C112" s="401">
        <v>12</v>
      </c>
      <c r="D112" s="362" t="s">
        <v>401</v>
      </c>
      <c r="E112" s="377">
        <v>1206</v>
      </c>
      <c r="F112" s="362" t="s">
        <v>497</v>
      </c>
      <c r="G112" s="377" t="s">
        <v>498</v>
      </c>
      <c r="H112" s="362" t="s">
        <v>499</v>
      </c>
      <c r="I112" s="377">
        <v>120600500</v>
      </c>
      <c r="J112" s="362" t="s">
        <v>500</v>
      </c>
      <c r="K112" s="358">
        <v>400</v>
      </c>
      <c r="L112" s="358"/>
      <c r="M112" s="358">
        <f>+K112+L112</f>
        <v>400</v>
      </c>
      <c r="N112" s="327">
        <v>2024003630098</v>
      </c>
      <c r="O112" s="362" t="s">
        <v>501</v>
      </c>
      <c r="P112" s="347" t="s">
        <v>502</v>
      </c>
      <c r="Q112" s="409">
        <v>10000000</v>
      </c>
      <c r="R112" s="388">
        <v>5000000</v>
      </c>
      <c r="S112" s="388"/>
      <c r="T112" s="388"/>
      <c r="U112" s="936">
        <f>+Q112-R112+S112-T112</f>
        <v>5000000</v>
      </c>
      <c r="V112" s="349" t="s">
        <v>503</v>
      </c>
      <c r="W112" s="377">
        <v>20</v>
      </c>
      <c r="X112" s="378" t="s">
        <v>67</v>
      </c>
      <c r="Y112" s="371">
        <v>186652</v>
      </c>
      <c r="Z112" s="371">
        <v>166372</v>
      </c>
      <c r="AA112" s="371">
        <v>49530</v>
      </c>
      <c r="AB112" s="371">
        <v>28070</v>
      </c>
      <c r="AC112" s="371">
        <v>197093</v>
      </c>
      <c r="AD112" s="371">
        <v>78331</v>
      </c>
      <c r="AE112" s="371">
        <v>3624</v>
      </c>
      <c r="AF112" s="371">
        <v>7402</v>
      </c>
      <c r="AG112" s="371">
        <v>12</v>
      </c>
      <c r="AH112" s="371">
        <v>3</v>
      </c>
      <c r="AI112" s="371">
        <v>276000</v>
      </c>
      <c r="AJ112" s="371"/>
      <c r="AK112" s="371">
        <v>25473</v>
      </c>
      <c r="AL112" s="371">
        <v>14277</v>
      </c>
      <c r="AM112" s="371">
        <v>26233</v>
      </c>
      <c r="AN112" s="371">
        <f t="shared" si="13"/>
        <v>353024</v>
      </c>
      <c r="AO112" s="372">
        <v>45658</v>
      </c>
      <c r="AP112" s="372">
        <v>46022</v>
      </c>
      <c r="AQ112" s="352" t="s">
        <v>261</v>
      </c>
    </row>
    <row r="113" spans="1:44" s="45" customFormat="1" ht="60">
      <c r="A113" s="399">
        <v>4</v>
      </c>
      <c r="B113" s="400" t="s">
        <v>253</v>
      </c>
      <c r="C113" s="401">
        <v>12</v>
      </c>
      <c r="D113" s="362" t="s">
        <v>401</v>
      </c>
      <c r="E113" s="377">
        <v>1206</v>
      </c>
      <c r="F113" s="362" t="s">
        <v>497</v>
      </c>
      <c r="G113" s="377" t="s">
        <v>498</v>
      </c>
      <c r="H113" s="362" t="s">
        <v>499</v>
      </c>
      <c r="I113" s="377">
        <v>120600500</v>
      </c>
      <c r="J113" s="362" t="s">
        <v>500</v>
      </c>
      <c r="K113" s="358">
        <v>400</v>
      </c>
      <c r="L113" s="358"/>
      <c r="M113" s="358">
        <f>+K113+L113</f>
        <v>400</v>
      </c>
      <c r="N113" s="327">
        <v>2024003630098</v>
      </c>
      <c r="O113" s="362" t="s">
        <v>501</v>
      </c>
      <c r="P113" s="347" t="s">
        <v>504</v>
      </c>
      <c r="Q113" s="409">
        <v>20000000</v>
      </c>
      <c r="R113" s="388">
        <v>5000000</v>
      </c>
      <c r="S113" s="388"/>
      <c r="T113" s="388"/>
      <c r="U113" s="936">
        <f>+Q113-R113+S113-T113</f>
        <v>15000000</v>
      </c>
      <c r="V113" s="349" t="s">
        <v>503</v>
      </c>
      <c r="W113" s="377">
        <v>20</v>
      </c>
      <c r="X113" s="378" t="s">
        <v>67</v>
      </c>
      <c r="Y113" s="371">
        <v>186652</v>
      </c>
      <c r="Z113" s="371">
        <v>166372</v>
      </c>
      <c r="AA113" s="371">
        <v>49530</v>
      </c>
      <c r="AB113" s="371">
        <v>28070</v>
      </c>
      <c r="AC113" s="371">
        <v>197093</v>
      </c>
      <c r="AD113" s="371">
        <v>78331</v>
      </c>
      <c r="AE113" s="371">
        <v>3624</v>
      </c>
      <c r="AF113" s="371">
        <v>7402</v>
      </c>
      <c r="AG113" s="371">
        <v>12</v>
      </c>
      <c r="AH113" s="371">
        <v>3</v>
      </c>
      <c r="AI113" s="371">
        <v>276000</v>
      </c>
      <c r="AJ113" s="371"/>
      <c r="AK113" s="371">
        <v>25473</v>
      </c>
      <c r="AL113" s="371">
        <v>14277</v>
      </c>
      <c r="AM113" s="371">
        <v>26233</v>
      </c>
      <c r="AN113" s="371">
        <f t="shared" si="13"/>
        <v>353024</v>
      </c>
      <c r="AO113" s="372">
        <v>45658</v>
      </c>
      <c r="AP113" s="372">
        <v>46022</v>
      </c>
      <c r="AQ113" s="352" t="s">
        <v>261</v>
      </c>
    </row>
    <row r="114" spans="1:44" s="45" customFormat="1" ht="60">
      <c r="A114" s="399">
        <v>4</v>
      </c>
      <c r="B114" s="400" t="s">
        <v>253</v>
      </c>
      <c r="C114" s="401">
        <v>12</v>
      </c>
      <c r="D114" s="362" t="s">
        <v>401</v>
      </c>
      <c r="E114" s="377">
        <v>1206</v>
      </c>
      <c r="F114" s="362" t="s">
        <v>497</v>
      </c>
      <c r="G114" s="377" t="s">
        <v>498</v>
      </c>
      <c r="H114" s="362" t="s">
        <v>499</v>
      </c>
      <c r="I114" s="377">
        <v>120600500</v>
      </c>
      <c r="J114" s="362" t="s">
        <v>500</v>
      </c>
      <c r="K114" s="358">
        <v>400</v>
      </c>
      <c r="L114" s="358"/>
      <c r="M114" s="358">
        <f>+K114+L114</f>
        <v>400</v>
      </c>
      <c r="N114" s="327">
        <v>2024003630098</v>
      </c>
      <c r="O114" s="362" t="s">
        <v>501</v>
      </c>
      <c r="P114" s="347" t="s">
        <v>505</v>
      </c>
      <c r="Q114" s="409">
        <v>15000000</v>
      </c>
      <c r="R114" s="388"/>
      <c r="S114" s="388"/>
      <c r="T114" s="388"/>
      <c r="U114" s="936">
        <f>+Q114-R114+S114-T114</f>
        <v>15000000</v>
      </c>
      <c r="V114" s="353" t="s">
        <v>506</v>
      </c>
      <c r="W114" s="377">
        <v>20</v>
      </c>
      <c r="X114" s="378" t="s">
        <v>67</v>
      </c>
      <c r="Y114" s="371">
        <v>186652</v>
      </c>
      <c r="Z114" s="371">
        <v>166372</v>
      </c>
      <c r="AA114" s="371">
        <v>49530</v>
      </c>
      <c r="AB114" s="371">
        <v>28070</v>
      </c>
      <c r="AC114" s="371">
        <v>197093</v>
      </c>
      <c r="AD114" s="371">
        <v>78331</v>
      </c>
      <c r="AE114" s="371">
        <v>3624</v>
      </c>
      <c r="AF114" s="371">
        <v>7402</v>
      </c>
      <c r="AG114" s="371">
        <v>12</v>
      </c>
      <c r="AH114" s="371">
        <v>3</v>
      </c>
      <c r="AI114" s="371">
        <v>276000</v>
      </c>
      <c r="AJ114" s="371"/>
      <c r="AK114" s="371">
        <v>25473</v>
      </c>
      <c r="AL114" s="371">
        <v>14277</v>
      </c>
      <c r="AM114" s="371">
        <v>26233</v>
      </c>
      <c r="AN114" s="371">
        <f t="shared" si="13"/>
        <v>353024</v>
      </c>
      <c r="AO114" s="372">
        <v>45658</v>
      </c>
      <c r="AP114" s="372">
        <v>46022</v>
      </c>
      <c r="AQ114" s="352" t="s">
        <v>261</v>
      </c>
    </row>
    <row r="115" spans="1:44" s="45" customFormat="1" ht="72">
      <c r="A115" s="399">
        <v>4</v>
      </c>
      <c r="B115" s="400" t="s">
        <v>253</v>
      </c>
      <c r="C115" s="401">
        <v>12</v>
      </c>
      <c r="D115" s="362" t="s">
        <v>401</v>
      </c>
      <c r="E115" s="377">
        <v>1206</v>
      </c>
      <c r="F115" s="362" t="s">
        <v>497</v>
      </c>
      <c r="G115" s="377" t="s">
        <v>498</v>
      </c>
      <c r="H115" s="362" t="s">
        <v>499</v>
      </c>
      <c r="I115" s="377">
        <v>120600500</v>
      </c>
      <c r="J115" s="362" t="s">
        <v>500</v>
      </c>
      <c r="K115" s="358">
        <v>400</v>
      </c>
      <c r="L115" s="358"/>
      <c r="M115" s="358">
        <f>+K115+L115</f>
        <v>400</v>
      </c>
      <c r="N115" s="327">
        <v>2024003630098</v>
      </c>
      <c r="O115" s="362" t="s">
        <v>501</v>
      </c>
      <c r="P115" s="46" t="s">
        <v>507</v>
      </c>
      <c r="Q115" s="409">
        <v>15000000</v>
      </c>
      <c r="R115" s="388">
        <v>6000000</v>
      </c>
      <c r="S115" s="388"/>
      <c r="T115" s="388"/>
      <c r="U115" s="936">
        <f>+Q115-R115+S115-T115</f>
        <v>9000000</v>
      </c>
      <c r="V115" s="353" t="s">
        <v>503</v>
      </c>
      <c r="W115" s="377">
        <v>20</v>
      </c>
      <c r="X115" s="378" t="s">
        <v>67</v>
      </c>
      <c r="Y115" s="371">
        <v>186652</v>
      </c>
      <c r="Z115" s="371">
        <v>166372</v>
      </c>
      <c r="AA115" s="371">
        <v>49530</v>
      </c>
      <c r="AB115" s="371">
        <v>28070</v>
      </c>
      <c r="AC115" s="371">
        <v>197093</v>
      </c>
      <c r="AD115" s="371">
        <v>78331</v>
      </c>
      <c r="AE115" s="371">
        <v>3624</v>
      </c>
      <c r="AF115" s="371">
        <v>7402</v>
      </c>
      <c r="AG115" s="371">
        <v>12</v>
      </c>
      <c r="AH115" s="371">
        <v>3</v>
      </c>
      <c r="AI115" s="371">
        <v>276000</v>
      </c>
      <c r="AJ115" s="371"/>
      <c r="AK115" s="371">
        <v>25473</v>
      </c>
      <c r="AL115" s="371">
        <v>14277</v>
      </c>
      <c r="AM115" s="371">
        <v>26233</v>
      </c>
      <c r="AN115" s="371">
        <f t="shared" si="13"/>
        <v>353024</v>
      </c>
      <c r="AO115" s="372">
        <v>45658</v>
      </c>
      <c r="AP115" s="372">
        <v>46022</v>
      </c>
      <c r="AQ115" s="352" t="s">
        <v>261</v>
      </c>
    </row>
    <row r="116" spans="1:44" s="17" customFormat="1" ht="27.6" customHeight="1" thickBot="1">
      <c r="A116" s="20"/>
      <c r="B116" s="410"/>
      <c r="C116" s="21"/>
      <c r="D116" s="21"/>
      <c r="E116" s="21"/>
      <c r="F116" s="21"/>
      <c r="G116" s="410"/>
      <c r="H116" s="410"/>
      <c r="I116" s="410"/>
      <c r="J116" s="410"/>
      <c r="K116" s="21"/>
      <c r="L116" s="21"/>
      <c r="M116" s="21"/>
      <c r="N116" s="21"/>
      <c r="O116" s="21"/>
      <c r="P116" s="26"/>
      <c r="Q116" s="411">
        <f>SUM(Q10:Q115)</f>
        <v>9164206302.7454395</v>
      </c>
      <c r="R116" s="30"/>
      <c r="S116" s="30"/>
      <c r="T116" s="30"/>
      <c r="U116" s="30"/>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2"/>
    </row>
    <row r="117" spans="1:44" s="17" customFormat="1" ht="14.25">
      <c r="B117" s="412"/>
      <c r="G117" s="412"/>
      <c r="H117" s="412"/>
      <c r="I117" s="412"/>
      <c r="J117" s="412"/>
      <c r="Q117" s="413"/>
      <c r="V117" s="946"/>
      <c r="W117" s="18"/>
      <c r="X117" s="18"/>
    </row>
    <row r="118" spans="1:44" s="17" customFormat="1" ht="14.25">
      <c r="B118" s="412"/>
      <c r="G118" s="412"/>
      <c r="H118" s="412"/>
      <c r="I118" s="412"/>
      <c r="J118" s="412"/>
      <c r="Q118" s="414"/>
      <c r="W118" s="18"/>
      <c r="X118" s="18"/>
    </row>
    <row r="119" spans="1:44" s="17" customFormat="1" ht="14.25">
      <c r="B119" s="412"/>
      <c r="G119" s="412"/>
      <c r="H119" s="412"/>
      <c r="I119" s="412"/>
      <c r="J119" s="412"/>
      <c r="Q119" s="414"/>
      <c r="W119" s="18"/>
      <c r="X119" s="18"/>
    </row>
    <row r="120" spans="1:44" s="17" customFormat="1" ht="14.25">
      <c r="B120" s="412"/>
      <c r="G120" s="412"/>
      <c r="H120" s="412"/>
      <c r="I120" s="412"/>
      <c r="J120" s="412"/>
      <c r="Q120" s="414"/>
      <c r="W120" s="18"/>
      <c r="X120" s="18"/>
    </row>
    <row r="121" spans="1:44" s="17" customFormat="1">
      <c r="B121" s="412"/>
      <c r="G121" s="412"/>
      <c r="H121" s="412"/>
      <c r="I121" s="412"/>
      <c r="J121" s="412"/>
      <c r="K121" s="980" t="s">
        <v>508</v>
      </c>
      <c r="L121" s="980"/>
      <c r="M121" s="980"/>
      <c r="N121" s="980"/>
      <c r="O121" s="980"/>
      <c r="P121" s="980"/>
      <c r="Q121" s="980"/>
      <c r="R121" s="37"/>
      <c r="S121" s="31"/>
      <c r="T121" s="31"/>
      <c r="U121" s="31"/>
      <c r="W121" s="18"/>
      <c r="X121" s="18"/>
    </row>
    <row r="122" spans="1:44">
      <c r="K122" s="981" t="s">
        <v>107</v>
      </c>
      <c r="L122" s="981"/>
      <c r="M122" s="981"/>
      <c r="N122" s="981"/>
      <c r="O122" s="981"/>
      <c r="P122" s="981"/>
      <c r="Q122" s="981"/>
      <c r="R122" s="38"/>
      <c r="S122" s="964"/>
      <c r="T122" s="964"/>
      <c r="U122" s="964"/>
    </row>
    <row r="123" spans="1:44">
      <c r="A123" s="17"/>
      <c r="B123" s="412"/>
      <c r="C123" s="17"/>
      <c r="D123" s="17"/>
      <c r="E123" s="17"/>
      <c r="F123" s="17"/>
      <c r="G123" s="412"/>
      <c r="H123" s="412"/>
      <c r="I123" s="412"/>
      <c r="J123" s="412"/>
      <c r="K123" s="17"/>
      <c r="L123" s="17"/>
      <c r="M123" s="17"/>
      <c r="N123" s="17"/>
      <c r="O123" s="17"/>
      <c r="P123" s="17"/>
      <c r="Q123" s="414"/>
      <c r="R123" s="17"/>
      <c r="S123" s="17"/>
      <c r="T123" s="17"/>
      <c r="U123" s="17"/>
      <c r="V123" s="17"/>
      <c r="W123" s="18"/>
      <c r="X123" s="18"/>
      <c r="Y123" s="17"/>
      <c r="Z123" s="17"/>
      <c r="AA123" s="17"/>
      <c r="AB123" s="17"/>
      <c r="AC123" s="17"/>
      <c r="AD123" s="17"/>
      <c r="AE123" s="17"/>
      <c r="AF123" s="17"/>
      <c r="AG123" s="17"/>
      <c r="AH123" s="17"/>
      <c r="AI123" s="17"/>
      <c r="AJ123" s="17"/>
      <c r="AK123" s="17"/>
      <c r="AL123" s="17"/>
      <c r="AM123" s="17"/>
      <c r="AN123" s="17"/>
      <c r="AO123" s="17"/>
      <c r="AP123" s="17"/>
      <c r="AQ123" s="17"/>
      <c r="AR123" s="17"/>
    </row>
    <row r="124" spans="1:44">
      <c r="A124" s="17"/>
      <c r="B124" s="412"/>
      <c r="C124" s="17"/>
      <c r="D124" s="17"/>
      <c r="E124" s="17"/>
      <c r="F124" s="17"/>
      <c r="G124" s="412"/>
      <c r="H124" s="412"/>
      <c r="I124" s="412"/>
      <c r="J124" s="412"/>
      <c r="K124" s="17"/>
      <c r="L124" s="17"/>
      <c r="M124" s="17"/>
      <c r="N124" s="17"/>
      <c r="O124" s="17"/>
      <c r="P124" s="17"/>
      <c r="Q124" s="414"/>
      <c r="R124" s="17"/>
      <c r="S124" s="17"/>
      <c r="T124" s="17"/>
      <c r="U124" s="17"/>
      <c r="V124" s="17"/>
      <c r="W124" s="18"/>
      <c r="X124" s="18"/>
      <c r="Y124" s="17"/>
      <c r="Z124" s="17"/>
      <c r="AA124" s="17"/>
      <c r="AB124" s="17"/>
      <c r="AC124" s="17"/>
      <c r="AD124" s="17"/>
      <c r="AE124" s="17"/>
      <c r="AF124" s="17"/>
      <c r="AG124" s="17"/>
      <c r="AH124" s="17"/>
      <c r="AI124" s="17"/>
      <c r="AJ124" s="17"/>
      <c r="AK124" s="17"/>
      <c r="AL124" s="17"/>
      <c r="AM124" s="17"/>
      <c r="AN124" s="17"/>
      <c r="AO124" s="17"/>
      <c r="AP124" s="17"/>
      <c r="AQ124" s="17"/>
      <c r="AR124" s="17"/>
    </row>
    <row r="125" spans="1:44">
      <c r="A125" s="17"/>
      <c r="B125" s="412"/>
      <c r="C125" s="17"/>
      <c r="D125" s="17"/>
      <c r="E125" s="17"/>
      <c r="F125" s="17"/>
      <c r="G125" s="965" t="s">
        <v>108</v>
      </c>
      <c r="H125" s="965"/>
      <c r="I125" s="966" t="s">
        <v>109</v>
      </c>
      <c r="J125" s="967"/>
      <c r="K125" s="968" t="s">
        <v>110</v>
      </c>
      <c r="L125" s="969"/>
      <c r="M125" s="969"/>
      <c r="N125" s="970"/>
      <c r="O125" s="17"/>
      <c r="P125" s="17"/>
      <c r="Q125" s="414"/>
      <c r="R125" s="17"/>
      <c r="S125" s="17"/>
      <c r="T125" s="17"/>
      <c r="U125" s="17"/>
      <c r="V125" s="17"/>
      <c r="W125" s="18"/>
      <c r="X125" s="18"/>
      <c r="Y125" s="17"/>
      <c r="Z125" s="17"/>
      <c r="AA125" s="17"/>
      <c r="AB125" s="17"/>
      <c r="AC125" s="17"/>
      <c r="AD125" s="17"/>
      <c r="AE125" s="17"/>
      <c r="AF125" s="17"/>
      <c r="AG125" s="17"/>
      <c r="AH125" s="17"/>
      <c r="AI125" s="17"/>
      <c r="AJ125" s="17"/>
      <c r="AK125" s="17"/>
      <c r="AL125" s="17"/>
      <c r="AM125" s="17"/>
      <c r="AN125" s="17"/>
      <c r="AO125" s="17"/>
      <c r="AP125" s="17"/>
      <c r="AQ125" s="17"/>
      <c r="AR125" s="17"/>
    </row>
    <row r="126" spans="1:44" ht="31.5" customHeight="1">
      <c r="A126" s="17"/>
      <c r="B126" s="412"/>
      <c r="C126" s="17"/>
      <c r="D126" s="17"/>
      <c r="E126" s="17"/>
      <c r="F126" s="17"/>
      <c r="G126" s="965" t="s">
        <v>111</v>
      </c>
      <c r="H126" s="965"/>
      <c r="I126" s="971" t="s">
        <v>112</v>
      </c>
      <c r="J126" s="972"/>
      <c r="K126" s="965" t="s">
        <v>113</v>
      </c>
      <c r="L126" s="965"/>
      <c r="M126" s="965"/>
      <c r="N126" s="965"/>
      <c r="O126" s="17"/>
      <c r="P126" s="17"/>
      <c r="Q126" s="414"/>
      <c r="R126" s="17"/>
      <c r="S126" s="17"/>
      <c r="T126" s="17"/>
      <c r="U126" s="17"/>
      <c r="V126" s="24"/>
      <c r="W126" s="18"/>
      <c r="X126" s="18"/>
      <c r="Y126" s="17"/>
      <c r="Z126" s="17"/>
      <c r="AA126" s="17"/>
      <c r="AB126" s="17"/>
      <c r="AC126" s="17"/>
      <c r="AD126" s="17"/>
      <c r="AE126" s="17"/>
      <c r="AF126" s="17"/>
      <c r="AG126" s="17"/>
      <c r="AH126" s="17"/>
      <c r="AI126" s="17"/>
      <c r="AJ126" s="17"/>
      <c r="AK126" s="17"/>
      <c r="AL126" s="17"/>
      <c r="AM126" s="17"/>
      <c r="AN126" s="17"/>
      <c r="AO126" s="17"/>
      <c r="AP126" s="17"/>
      <c r="AQ126" s="17"/>
      <c r="AR126" s="17"/>
    </row>
    <row r="127" spans="1:44" ht="25.5" customHeight="1">
      <c r="G127" s="979" t="s">
        <v>114</v>
      </c>
      <c r="H127" s="979"/>
      <c r="I127" s="979" t="s">
        <v>115</v>
      </c>
      <c r="J127" s="979"/>
      <c r="K127" s="979" t="s">
        <v>116</v>
      </c>
      <c r="L127" s="979"/>
      <c r="M127" s="979"/>
      <c r="N127" s="979"/>
    </row>
    <row r="129" spans="7:10">
      <c r="G129" s="417"/>
      <c r="H129" s="412"/>
      <c r="I129" s="412"/>
      <c r="J129" s="412"/>
    </row>
  </sheetData>
  <autoFilter ref="A9:BI9" xr:uid="{00000000-0001-0000-0400-000000000000}"/>
  <mergeCells count="26">
    <mergeCell ref="G127:H127"/>
    <mergeCell ref="I127:J127"/>
    <mergeCell ref="K127:N127"/>
    <mergeCell ref="N7:Q8"/>
    <mergeCell ref="Y7:AN7"/>
    <mergeCell ref="K122:Q122"/>
    <mergeCell ref="K121:Q121"/>
    <mergeCell ref="AP7:AP9"/>
    <mergeCell ref="AQ7:AQ9"/>
    <mergeCell ref="V8:X8"/>
    <mergeCell ref="Y8:Z8"/>
    <mergeCell ref="AA8:AD8"/>
    <mergeCell ref="AE8:AJ8"/>
    <mergeCell ref="AK8:AM8"/>
    <mergeCell ref="AN8:AN9"/>
    <mergeCell ref="A1:B6"/>
    <mergeCell ref="C1:AO1"/>
    <mergeCell ref="C2:AO4"/>
    <mergeCell ref="C5:AO6"/>
    <mergeCell ref="A7:B8"/>
    <mergeCell ref="C7:D8"/>
    <mergeCell ref="E7:F8"/>
    <mergeCell ref="G7:H8"/>
    <mergeCell ref="I7:J8"/>
    <mergeCell ref="K7:M8"/>
    <mergeCell ref="AO7:AO9"/>
  </mergeCells>
  <conditionalFormatting sqref="V67">
    <cfRule type="duplicateValues" dxfId="163" priority="1" stopIfTrue="1"/>
    <cfRule type="duplicateValues" dxfId="162" priority="2"/>
  </conditionalFormatting>
  <pageMargins left="0.25" right="0.25" top="0.75" bottom="0.75" header="0.3" footer="0.3"/>
  <pageSetup scale="22" fitToHeight="6"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pageSetUpPr fitToPage="1"/>
  </sheetPr>
  <dimension ref="A1:BI66"/>
  <sheetViews>
    <sheetView topLeftCell="O1" zoomScale="60" zoomScaleNormal="60" zoomScaleSheetLayoutView="70" workbookViewId="0">
      <pane ySplit="9" topLeftCell="L10" activePane="bottomLeft" state="frozen"/>
      <selection pane="bottomLeft" activeCell="R35" sqref="R35"/>
    </sheetView>
  </sheetViews>
  <sheetFormatPr defaultColWidth="11.42578125" defaultRowHeight="15" customHeight="1"/>
  <cols>
    <col min="1" max="1" width="11.42578125" customWidth="1"/>
    <col min="2" max="2" width="20.85546875" customWidth="1"/>
    <col min="3" max="3" width="11.7109375" customWidth="1"/>
    <col min="4" max="4" width="19" customWidth="1"/>
    <col min="5" max="5" width="11.42578125" customWidth="1"/>
    <col min="6" max="6" width="21.42578125" customWidth="1"/>
    <col min="7" max="7" width="14" customWidth="1"/>
    <col min="8" max="8" width="21.85546875" customWidth="1"/>
    <col min="9" max="9" width="20" customWidth="1"/>
    <col min="10" max="10" width="19.85546875" customWidth="1"/>
    <col min="11" max="11" width="21.140625" customWidth="1"/>
    <col min="12" max="12" width="12.28515625" customWidth="1"/>
    <col min="13" max="13" width="11.42578125" customWidth="1"/>
    <col min="14" max="14" width="18.7109375" customWidth="1"/>
    <col min="15" max="15" width="32.28515625" customWidth="1"/>
    <col min="16" max="16" width="39" customWidth="1"/>
    <col min="17" max="21" width="22.85546875" customWidth="1"/>
    <col min="22" max="22" width="26" bestFit="1" customWidth="1"/>
    <col min="23" max="23" width="15.7109375" customWidth="1"/>
    <col min="24" max="24" width="25.42578125" customWidth="1"/>
    <col min="25" max="25" width="9.140625" customWidth="1"/>
    <col min="26" max="26" width="10.140625" customWidth="1"/>
    <col min="27" max="27" width="9.28515625" customWidth="1"/>
    <col min="28" max="28" width="7.42578125" customWidth="1"/>
    <col min="29" max="29" width="9.42578125" customWidth="1"/>
    <col min="30" max="30" width="8.42578125" customWidth="1"/>
    <col min="31" max="31" width="5.28515625" customWidth="1"/>
    <col min="32" max="32" width="9.140625" customWidth="1"/>
    <col min="33" max="33" width="6.7109375" customWidth="1"/>
    <col min="34" max="34" width="6.42578125" customWidth="1"/>
    <col min="35" max="35" width="6.28515625" customWidth="1"/>
    <col min="36" max="36" width="8.7109375" customWidth="1"/>
    <col min="37" max="37" width="9.42578125" customWidth="1"/>
    <col min="38" max="38" width="8.7109375" customWidth="1"/>
    <col min="39" max="39" width="9.28515625" customWidth="1"/>
    <col min="40" max="40" width="11.42578125" customWidth="1"/>
    <col min="41" max="41" width="14.28515625" customWidth="1"/>
    <col min="42" max="42" width="14.42578125" customWidth="1"/>
    <col min="43" max="43" width="17.140625" customWidth="1"/>
    <col min="16383" max="16384" width="11.42578125" bestFit="1" customWidth="1"/>
  </cols>
  <sheetData>
    <row r="1" spans="1:61">
      <c r="A1" s="1001"/>
      <c r="B1" s="1001"/>
      <c r="C1" s="1024" t="s">
        <v>0</v>
      </c>
      <c r="D1" s="1024"/>
      <c r="E1" s="1024"/>
      <c r="F1" s="1024"/>
      <c r="G1" s="1024"/>
      <c r="H1" s="1024"/>
      <c r="I1" s="1024"/>
      <c r="J1" s="1024"/>
      <c r="K1" s="1024"/>
      <c r="L1" s="1024"/>
      <c r="M1" s="1024"/>
      <c r="N1" s="1024"/>
      <c r="O1" s="1024"/>
      <c r="P1" s="1024"/>
      <c r="Q1" s="1024"/>
      <c r="R1" s="1024"/>
      <c r="S1" s="1024"/>
      <c r="T1" s="1024"/>
      <c r="U1" s="1024"/>
      <c r="V1" s="1024"/>
      <c r="W1" s="1024"/>
      <c r="X1" s="1024"/>
      <c r="Y1" s="1024"/>
      <c r="Z1" s="1024"/>
      <c r="AA1" s="1024"/>
      <c r="AB1" s="1024"/>
      <c r="AC1" s="1024"/>
      <c r="AD1" s="1024"/>
      <c r="AE1" s="1024"/>
      <c r="AF1" s="1024"/>
      <c r="AG1" s="1024"/>
      <c r="AH1" s="1024"/>
      <c r="AI1" s="1024"/>
      <c r="AJ1" s="1024"/>
      <c r="AK1" s="1024"/>
      <c r="AL1" s="1024"/>
      <c r="AM1" s="1024"/>
      <c r="AN1" s="1024"/>
      <c r="AO1" s="1024"/>
    </row>
    <row r="2" spans="1:61" s="2" customFormat="1" ht="14.45" customHeight="1">
      <c r="A2" s="1001"/>
      <c r="B2" s="1001"/>
      <c r="C2" s="1025" t="s">
        <v>509</v>
      </c>
      <c r="D2" s="1025"/>
      <c r="E2" s="1025"/>
      <c r="F2" s="1025"/>
      <c r="G2" s="1025"/>
      <c r="H2" s="1025"/>
      <c r="I2" s="1025"/>
      <c r="J2" s="1025"/>
      <c r="K2" s="1025"/>
      <c r="L2" s="1025"/>
      <c r="M2" s="1025"/>
      <c r="N2" s="1025"/>
      <c r="O2" s="1025"/>
      <c r="P2" s="1025"/>
      <c r="Q2" s="1025"/>
      <c r="R2" s="1025"/>
      <c r="S2" s="1025"/>
      <c r="T2" s="1025"/>
      <c r="U2" s="1025"/>
      <c r="V2" s="1025"/>
      <c r="W2" s="1025"/>
      <c r="X2" s="1025"/>
      <c r="Y2" s="1025"/>
      <c r="Z2" s="1025"/>
      <c r="AA2" s="1025"/>
      <c r="AB2" s="1025"/>
      <c r="AC2" s="1025"/>
      <c r="AD2" s="1025"/>
      <c r="AE2" s="1025"/>
      <c r="AF2" s="1025"/>
      <c r="AG2" s="1025"/>
      <c r="AH2" s="1025"/>
      <c r="AI2" s="1025"/>
      <c r="AJ2" s="1025"/>
      <c r="AK2" s="1025"/>
      <c r="AL2" s="1025"/>
      <c r="AM2" s="1025"/>
      <c r="AN2" s="1025"/>
      <c r="AO2" s="1026"/>
      <c r="AP2" s="25" t="s">
        <v>2</v>
      </c>
      <c r="AQ2" s="957" t="s">
        <v>3</v>
      </c>
      <c r="AR2" s="1"/>
      <c r="AS2" s="1"/>
      <c r="AT2" s="1"/>
      <c r="AU2" s="1"/>
      <c r="AV2" s="1"/>
      <c r="AW2" s="1"/>
      <c r="AX2" s="1"/>
      <c r="AY2" s="1"/>
      <c r="AZ2" s="1"/>
      <c r="BA2" s="1"/>
      <c r="BB2" s="1"/>
      <c r="BC2" s="1"/>
      <c r="BD2" s="1"/>
      <c r="BE2" s="1"/>
      <c r="BF2" s="1"/>
      <c r="BG2" s="1"/>
      <c r="BH2" s="1"/>
      <c r="BI2" s="1"/>
    </row>
    <row r="3" spans="1:61" s="2" customFormat="1" ht="14.1" customHeight="1">
      <c r="A3" s="1001"/>
      <c r="B3" s="1001"/>
      <c r="C3" s="1025"/>
      <c r="D3" s="1025"/>
      <c r="E3" s="1025"/>
      <c r="F3" s="1025"/>
      <c r="G3" s="1025"/>
      <c r="H3" s="1025"/>
      <c r="I3" s="1025"/>
      <c r="J3" s="1025"/>
      <c r="K3" s="1025"/>
      <c r="L3" s="1025"/>
      <c r="M3" s="1025"/>
      <c r="N3" s="1025"/>
      <c r="O3" s="1025"/>
      <c r="P3" s="1025"/>
      <c r="Q3" s="1025"/>
      <c r="R3" s="1025"/>
      <c r="S3" s="1025"/>
      <c r="T3" s="1025"/>
      <c r="U3" s="1025"/>
      <c r="V3" s="1025"/>
      <c r="W3" s="1025"/>
      <c r="X3" s="1025"/>
      <c r="Y3" s="1025"/>
      <c r="Z3" s="1025"/>
      <c r="AA3" s="1025"/>
      <c r="AB3" s="1025"/>
      <c r="AC3" s="1025"/>
      <c r="AD3" s="1025"/>
      <c r="AE3" s="1025"/>
      <c r="AF3" s="1025"/>
      <c r="AG3" s="1025"/>
      <c r="AH3" s="1025"/>
      <c r="AI3" s="1025"/>
      <c r="AJ3" s="1025"/>
      <c r="AK3" s="1025"/>
      <c r="AL3" s="1025"/>
      <c r="AM3" s="1025"/>
      <c r="AN3" s="1025"/>
      <c r="AO3" s="1026"/>
      <c r="AP3" s="42" t="s">
        <v>4</v>
      </c>
      <c r="AQ3" s="40">
        <v>14</v>
      </c>
      <c r="AR3" s="1"/>
      <c r="AS3" s="1"/>
      <c r="AT3" s="1"/>
      <c r="AU3" s="1"/>
      <c r="AV3" s="1"/>
      <c r="AW3" s="1"/>
      <c r="AX3" s="1"/>
      <c r="AY3" s="1"/>
      <c r="AZ3" s="1"/>
      <c r="BA3" s="1"/>
      <c r="BB3" s="1"/>
      <c r="BC3" s="1"/>
      <c r="BD3" s="1"/>
      <c r="BE3" s="1"/>
      <c r="BF3" s="1"/>
      <c r="BG3" s="1"/>
      <c r="BH3" s="1"/>
      <c r="BI3" s="1"/>
    </row>
    <row r="4" spans="1:61" s="2" customFormat="1" ht="18" customHeight="1">
      <c r="A4" s="1001"/>
      <c r="B4" s="1001"/>
      <c r="C4" s="1025"/>
      <c r="D4" s="1025"/>
      <c r="E4" s="1025"/>
      <c r="F4" s="1025"/>
      <c r="G4" s="1025"/>
      <c r="H4" s="1025"/>
      <c r="I4" s="1025"/>
      <c r="J4" s="1025"/>
      <c r="K4" s="1025"/>
      <c r="L4" s="1025"/>
      <c r="M4" s="1025"/>
      <c r="N4" s="1025"/>
      <c r="O4" s="1025"/>
      <c r="P4" s="1025"/>
      <c r="Q4" s="1025"/>
      <c r="R4" s="1025"/>
      <c r="S4" s="1025"/>
      <c r="T4" s="1025"/>
      <c r="U4" s="1025"/>
      <c r="V4" s="1025"/>
      <c r="W4" s="1025"/>
      <c r="X4" s="1025"/>
      <c r="Y4" s="1025"/>
      <c r="Z4" s="1025"/>
      <c r="AA4" s="1025"/>
      <c r="AB4" s="1025"/>
      <c r="AC4" s="1025"/>
      <c r="AD4" s="1025"/>
      <c r="AE4" s="1025"/>
      <c r="AF4" s="1025"/>
      <c r="AG4" s="1025"/>
      <c r="AH4" s="1025"/>
      <c r="AI4" s="1025"/>
      <c r="AJ4" s="1025"/>
      <c r="AK4" s="1025"/>
      <c r="AL4" s="1025"/>
      <c r="AM4" s="1025"/>
      <c r="AN4" s="1025"/>
      <c r="AO4" s="1026"/>
      <c r="AP4" s="42" t="s">
        <v>5</v>
      </c>
      <c r="AQ4" s="41">
        <v>45884</v>
      </c>
      <c r="AR4" s="1"/>
      <c r="AS4" s="1"/>
      <c r="AT4" s="1"/>
      <c r="AU4" s="1"/>
      <c r="AV4" s="1"/>
      <c r="AW4" s="1"/>
      <c r="AX4" s="1"/>
      <c r="AY4" s="1"/>
      <c r="AZ4" s="1"/>
      <c r="BA4" s="1"/>
      <c r="BB4" s="1"/>
      <c r="BC4" s="1"/>
      <c r="BD4" s="1"/>
      <c r="BE4" s="1"/>
      <c r="BF4" s="1"/>
      <c r="BG4" s="1"/>
      <c r="BH4" s="1"/>
      <c r="BI4" s="1"/>
    </row>
    <row r="5" spans="1:61" s="2" customFormat="1" ht="14.45" customHeight="1">
      <c r="A5" s="1001"/>
      <c r="B5" s="1001"/>
      <c r="C5" s="1027" t="s">
        <v>6</v>
      </c>
      <c r="D5" s="1027"/>
      <c r="E5" s="1027"/>
      <c r="F5" s="1027"/>
      <c r="G5" s="1027"/>
      <c r="H5" s="1027"/>
      <c r="I5" s="1027"/>
      <c r="J5" s="1027"/>
      <c r="K5" s="1027"/>
      <c r="L5" s="1027"/>
      <c r="M5" s="1027"/>
      <c r="N5" s="1027"/>
      <c r="O5" s="1027"/>
      <c r="P5" s="1027"/>
      <c r="Q5" s="1027"/>
      <c r="R5" s="1027"/>
      <c r="S5" s="1027"/>
      <c r="T5" s="1027"/>
      <c r="U5" s="1027"/>
      <c r="V5" s="1027"/>
      <c r="W5" s="1027"/>
      <c r="X5" s="1027"/>
      <c r="Y5" s="1027"/>
      <c r="Z5" s="1027"/>
      <c r="AA5" s="1027"/>
      <c r="AB5" s="1027"/>
      <c r="AC5" s="1027"/>
      <c r="AD5" s="1027"/>
      <c r="AE5" s="1027"/>
      <c r="AF5" s="1027"/>
      <c r="AG5" s="1027"/>
      <c r="AH5" s="1027"/>
      <c r="AI5" s="1027"/>
      <c r="AJ5" s="1027"/>
      <c r="AK5" s="1027"/>
      <c r="AL5" s="1027"/>
      <c r="AM5" s="1027"/>
      <c r="AN5" s="1027"/>
      <c r="AO5" s="1027"/>
      <c r="AP5" s="25" t="s">
        <v>7</v>
      </c>
      <c r="AQ5" s="3" t="s">
        <v>8</v>
      </c>
      <c r="AR5" s="1"/>
      <c r="AS5" s="1"/>
      <c r="AT5" s="1"/>
      <c r="AU5" s="1"/>
      <c r="AV5" s="1"/>
      <c r="AW5" s="1"/>
      <c r="AX5" s="1"/>
      <c r="AY5" s="1"/>
      <c r="AZ5" s="1"/>
      <c r="BA5" s="1"/>
      <c r="BB5" s="1"/>
      <c r="BC5" s="1"/>
      <c r="BD5" s="1"/>
      <c r="BE5" s="1"/>
      <c r="BF5" s="1"/>
      <c r="BG5" s="1"/>
      <c r="BH5" s="1"/>
      <c r="BI5" s="1"/>
    </row>
    <row r="6" spans="1:61" s="2" customFormat="1" ht="6" customHeight="1">
      <c r="A6" s="1001"/>
      <c r="B6" s="1001"/>
      <c r="C6" s="1027"/>
      <c r="D6" s="1027"/>
      <c r="E6" s="1027"/>
      <c r="F6" s="1027"/>
      <c r="G6" s="1027"/>
      <c r="H6" s="1027"/>
      <c r="I6" s="1027"/>
      <c r="J6" s="1027"/>
      <c r="K6" s="1027"/>
      <c r="L6" s="1027"/>
      <c r="M6" s="1027"/>
      <c r="N6" s="1027"/>
      <c r="O6" s="1027"/>
      <c r="P6" s="1027"/>
      <c r="Q6" s="1027"/>
      <c r="R6" s="1027"/>
      <c r="S6" s="1027"/>
      <c r="T6" s="1027"/>
      <c r="U6" s="1027"/>
      <c r="V6" s="1027"/>
      <c r="W6" s="1027"/>
      <c r="X6" s="1027"/>
      <c r="Y6" s="1027"/>
      <c r="Z6" s="1027"/>
      <c r="AA6" s="1027"/>
      <c r="AB6" s="1027"/>
      <c r="AC6" s="1027"/>
      <c r="AD6" s="1027"/>
      <c r="AE6" s="1027"/>
      <c r="AF6" s="1027"/>
      <c r="AG6" s="1027"/>
      <c r="AH6" s="1027"/>
      <c r="AI6" s="1027"/>
      <c r="AJ6" s="1027"/>
      <c r="AK6" s="1027"/>
      <c r="AL6" s="1027"/>
      <c r="AM6" s="1027"/>
      <c r="AN6" s="1027"/>
      <c r="AO6" s="1027"/>
      <c r="AP6" s="4"/>
      <c r="AQ6" s="5"/>
      <c r="AR6" s="1"/>
      <c r="AS6" s="1"/>
      <c r="AT6" s="1"/>
      <c r="AU6" s="1"/>
      <c r="AV6" s="1"/>
      <c r="AW6" s="1"/>
      <c r="AX6" s="1"/>
      <c r="AY6" s="1"/>
      <c r="AZ6" s="1"/>
      <c r="BA6" s="1"/>
      <c r="BB6" s="1"/>
      <c r="BC6" s="1"/>
      <c r="BD6" s="1"/>
      <c r="BE6" s="1"/>
      <c r="BF6" s="1"/>
      <c r="BG6" s="1"/>
      <c r="BH6" s="1"/>
      <c r="BI6" s="1"/>
    </row>
    <row r="7" spans="1:61" ht="21" customHeight="1">
      <c r="A7" s="1006" t="s">
        <v>9</v>
      </c>
      <c r="B7" s="1007"/>
      <c r="C7" s="1006" t="s">
        <v>10</v>
      </c>
      <c r="D7" s="1010"/>
      <c r="E7" s="1006" t="s">
        <v>11</v>
      </c>
      <c r="F7" s="1010"/>
      <c r="G7" s="1006" t="s">
        <v>12</v>
      </c>
      <c r="H7" s="1007"/>
      <c r="I7" s="1014" t="s">
        <v>13</v>
      </c>
      <c r="J7" s="1014"/>
      <c r="K7" s="1014" t="s">
        <v>14</v>
      </c>
      <c r="L7" s="1014"/>
      <c r="M7" s="1014"/>
      <c r="N7" s="1028" t="s">
        <v>15</v>
      </c>
      <c r="O7" s="1028"/>
      <c r="P7" s="1028"/>
      <c r="Q7" s="1028"/>
      <c r="R7" s="958"/>
      <c r="S7" s="958"/>
      <c r="T7" s="958"/>
      <c r="U7" s="958"/>
      <c r="V7" s="1029" t="s">
        <v>20</v>
      </c>
      <c r="W7" s="1029"/>
      <c r="X7" s="1030"/>
      <c r="Y7" s="998" t="s">
        <v>16</v>
      </c>
      <c r="Z7" s="999"/>
      <c r="AA7" s="999"/>
      <c r="AB7" s="999"/>
      <c r="AC7" s="999"/>
      <c r="AD7" s="999"/>
      <c r="AE7" s="999"/>
      <c r="AF7" s="999"/>
      <c r="AG7" s="999"/>
      <c r="AH7" s="999"/>
      <c r="AI7" s="999"/>
      <c r="AJ7" s="999"/>
      <c r="AK7" s="999"/>
      <c r="AL7" s="999"/>
      <c r="AM7" s="999"/>
      <c r="AN7" s="1000"/>
      <c r="AO7" s="987" t="s">
        <v>17</v>
      </c>
      <c r="AP7" s="987" t="s">
        <v>18</v>
      </c>
      <c r="AQ7" s="987" t="s">
        <v>19</v>
      </c>
    </row>
    <row r="8" spans="1:61" s="9" customFormat="1" ht="9.75" customHeight="1">
      <c r="A8" s="1008"/>
      <c r="B8" s="1009"/>
      <c r="C8" s="1008"/>
      <c r="D8" s="1011"/>
      <c r="E8" s="1008"/>
      <c r="F8" s="1011"/>
      <c r="G8" s="1008"/>
      <c r="H8" s="1009"/>
      <c r="I8" s="1014"/>
      <c r="J8" s="1014"/>
      <c r="K8" s="1014"/>
      <c r="L8" s="1014"/>
      <c r="M8" s="1014"/>
      <c r="N8" s="1028"/>
      <c r="O8" s="1028"/>
      <c r="P8" s="1028"/>
      <c r="Q8" s="1028"/>
      <c r="R8" s="959"/>
      <c r="S8" s="959"/>
      <c r="T8" s="959"/>
      <c r="U8" s="959"/>
      <c r="V8" s="1031"/>
      <c r="W8" s="1031"/>
      <c r="X8" s="1032"/>
      <c r="Y8" s="993" t="s">
        <v>21</v>
      </c>
      <c r="Z8" s="994"/>
      <c r="AA8" s="995" t="s">
        <v>22</v>
      </c>
      <c r="AB8" s="994"/>
      <c r="AC8" s="994"/>
      <c r="AD8" s="994"/>
      <c r="AE8" s="996" t="s">
        <v>23</v>
      </c>
      <c r="AF8" s="994"/>
      <c r="AG8" s="994"/>
      <c r="AH8" s="994"/>
      <c r="AI8" s="994"/>
      <c r="AJ8" s="994"/>
      <c r="AK8" s="995" t="s">
        <v>24</v>
      </c>
      <c r="AL8" s="994"/>
      <c r="AM8" s="994"/>
      <c r="AN8" s="997" t="s">
        <v>25</v>
      </c>
      <c r="AO8" s="988"/>
      <c r="AP8" s="988"/>
      <c r="AQ8" s="988"/>
      <c r="AR8" s="8"/>
      <c r="AS8" s="8"/>
      <c r="AT8" s="8"/>
      <c r="AU8" s="8"/>
      <c r="AV8" s="8"/>
      <c r="AW8" s="8"/>
      <c r="AX8" s="8"/>
      <c r="AY8" s="8"/>
      <c r="AZ8" s="8"/>
      <c r="BA8" s="8"/>
      <c r="BB8" s="8"/>
      <c r="BC8" s="8"/>
      <c r="BD8" s="8"/>
      <c r="BE8" s="8"/>
      <c r="BF8" s="8"/>
    </row>
    <row r="9" spans="1:61" s="16" customFormat="1" ht="68.25" customHeight="1">
      <c r="A9" s="10" t="s">
        <v>26</v>
      </c>
      <c r="B9" s="10" t="s">
        <v>27</v>
      </c>
      <c r="C9" s="10" t="s">
        <v>28</v>
      </c>
      <c r="D9" s="11" t="s">
        <v>29</v>
      </c>
      <c r="E9" s="11" t="s">
        <v>28</v>
      </c>
      <c r="F9" s="11" t="s">
        <v>29</v>
      </c>
      <c r="G9" s="12" t="s">
        <v>26</v>
      </c>
      <c r="H9" s="12" t="s">
        <v>29</v>
      </c>
      <c r="I9" s="39" t="s">
        <v>30</v>
      </c>
      <c r="J9" s="39" t="s">
        <v>31</v>
      </c>
      <c r="K9" s="39" t="s">
        <v>32</v>
      </c>
      <c r="L9" s="39" t="s">
        <v>510</v>
      </c>
      <c r="M9" s="39" t="s">
        <v>511</v>
      </c>
      <c r="N9" s="39" t="s">
        <v>34</v>
      </c>
      <c r="O9" s="39" t="s">
        <v>35</v>
      </c>
      <c r="P9" s="257" t="s">
        <v>36</v>
      </c>
      <c r="Q9" s="258" t="s">
        <v>37</v>
      </c>
      <c r="R9" s="13" t="s">
        <v>38</v>
      </c>
      <c r="S9" s="13" t="s">
        <v>39</v>
      </c>
      <c r="T9" s="13" t="s">
        <v>40</v>
      </c>
      <c r="U9" s="13" t="s">
        <v>41</v>
      </c>
      <c r="V9" s="259" t="s">
        <v>512</v>
      </c>
      <c r="W9" s="11" t="s">
        <v>26</v>
      </c>
      <c r="X9" s="11" t="s">
        <v>27</v>
      </c>
      <c r="Y9" s="14" t="s">
        <v>43</v>
      </c>
      <c r="Z9" s="15" t="s">
        <v>44</v>
      </c>
      <c r="AA9" s="14" t="s">
        <v>45</v>
      </c>
      <c r="AB9" s="14" t="s">
        <v>46</v>
      </c>
      <c r="AC9" s="14" t="s">
        <v>47</v>
      </c>
      <c r="AD9" s="14" t="s">
        <v>48</v>
      </c>
      <c r="AE9" s="14" t="s">
        <v>49</v>
      </c>
      <c r="AF9" s="14" t="s">
        <v>50</v>
      </c>
      <c r="AG9" s="14" t="s">
        <v>51</v>
      </c>
      <c r="AH9" s="14" t="s">
        <v>52</v>
      </c>
      <c r="AI9" s="14" t="s">
        <v>53</v>
      </c>
      <c r="AJ9" s="14" t="s">
        <v>54</v>
      </c>
      <c r="AK9" s="14" t="s">
        <v>55</v>
      </c>
      <c r="AL9" s="14" t="s">
        <v>56</v>
      </c>
      <c r="AM9" s="14" t="s">
        <v>57</v>
      </c>
      <c r="AN9" s="997"/>
      <c r="AO9" s="989"/>
      <c r="AP9" s="989"/>
      <c r="AQ9" s="989"/>
      <c r="AR9" s="8"/>
      <c r="AS9" s="8"/>
      <c r="AT9" s="8"/>
      <c r="AU9" s="8"/>
      <c r="AV9" s="8"/>
      <c r="AW9" s="8"/>
      <c r="AX9" s="8"/>
      <c r="AY9" s="8"/>
      <c r="AZ9" s="8"/>
      <c r="BA9" s="8"/>
      <c r="BB9" s="8"/>
      <c r="BC9" s="8"/>
      <c r="BD9" s="8"/>
      <c r="BE9" s="8"/>
      <c r="BF9" s="8"/>
    </row>
    <row r="10" spans="1:61" ht="91.5" hidden="1">
      <c r="A10" s="23">
        <v>1</v>
      </c>
      <c r="B10" s="133" t="s">
        <v>513</v>
      </c>
      <c r="C10" s="28">
        <v>33</v>
      </c>
      <c r="D10" s="28" t="s">
        <v>514</v>
      </c>
      <c r="E10" s="28">
        <v>3302</v>
      </c>
      <c r="F10" s="133" t="s">
        <v>515</v>
      </c>
      <c r="G10" s="260">
        <v>3302042</v>
      </c>
      <c r="H10" s="133" t="s">
        <v>516</v>
      </c>
      <c r="I10" s="260">
        <v>330204200</v>
      </c>
      <c r="J10" s="133" t="s">
        <v>517</v>
      </c>
      <c r="K10" s="265">
        <v>18</v>
      </c>
      <c r="L10" s="265"/>
      <c r="M10" s="265">
        <f t="shared" ref="M10:M16" si="0">+K10+L10</f>
        <v>18</v>
      </c>
      <c r="N10" s="23">
        <v>2024003630046</v>
      </c>
      <c r="O10" s="755" t="s">
        <v>518</v>
      </c>
      <c r="P10" s="267" t="s">
        <v>519</v>
      </c>
      <c r="Q10" s="261">
        <v>70000000</v>
      </c>
      <c r="R10" s="261">
        <f>7800000+4600000+4200000+4000000+7000000+5000000+5000000</f>
        <v>37600000</v>
      </c>
      <c r="S10" s="261">
        <v>7000000</v>
      </c>
      <c r="T10" s="261"/>
      <c r="U10" s="262">
        <f>+Q10-R10+S10-T10</f>
        <v>39400000</v>
      </c>
      <c r="V10" s="115" t="s">
        <v>520</v>
      </c>
      <c r="W10" s="756">
        <v>20</v>
      </c>
      <c r="X10" s="265" t="s">
        <v>67</v>
      </c>
      <c r="Y10" s="599">
        <v>73326</v>
      </c>
      <c r="Z10" s="599">
        <v>68186</v>
      </c>
      <c r="AA10" s="599">
        <v>24765</v>
      </c>
      <c r="AB10" s="599">
        <v>9035</v>
      </c>
      <c r="AC10" s="599">
        <v>78547</v>
      </c>
      <c r="AD10" s="599">
        <v>29166</v>
      </c>
      <c r="AE10" s="599">
        <v>812</v>
      </c>
      <c r="AF10" s="599">
        <v>1701</v>
      </c>
      <c r="AG10" s="599">
        <v>6</v>
      </c>
      <c r="AH10" s="599">
        <v>2</v>
      </c>
      <c r="AI10" s="599">
        <v>0</v>
      </c>
      <c r="AJ10" s="599">
        <v>0</v>
      </c>
      <c r="AK10" s="599">
        <v>12737</v>
      </c>
      <c r="AL10" s="599">
        <v>7139</v>
      </c>
      <c r="AM10" s="599">
        <v>13479</v>
      </c>
      <c r="AN10" s="599">
        <v>141512</v>
      </c>
      <c r="AO10" s="448">
        <v>45659</v>
      </c>
      <c r="AP10" s="448">
        <v>46021</v>
      </c>
      <c r="AQ10" s="28" t="s">
        <v>521</v>
      </c>
    </row>
    <row r="11" spans="1:61" ht="76.5" hidden="1">
      <c r="A11" s="23">
        <v>1</v>
      </c>
      <c r="B11" s="133" t="s">
        <v>513</v>
      </c>
      <c r="C11" s="28">
        <v>33</v>
      </c>
      <c r="D11" s="28" t="s">
        <v>514</v>
      </c>
      <c r="E11" s="28">
        <v>3302</v>
      </c>
      <c r="F11" s="133" t="s">
        <v>515</v>
      </c>
      <c r="G11" s="260">
        <v>3302070</v>
      </c>
      <c r="H11" s="133" t="s">
        <v>522</v>
      </c>
      <c r="I11" s="260">
        <v>330207000</v>
      </c>
      <c r="J11" s="133" t="s">
        <v>523</v>
      </c>
      <c r="K11" s="265">
        <v>19</v>
      </c>
      <c r="L11" s="265"/>
      <c r="M11" s="265">
        <f t="shared" si="0"/>
        <v>19</v>
      </c>
      <c r="N11" s="23">
        <v>2024003630046</v>
      </c>
      <c r="O11" s="755" t="s">
        <v>518</v>
      </c>
      <c r="P11" s="267" t="s">
        <v>524</v>
      </c>
      <c r="Q11" s="263">
        <v>86697651</v>
      </c>
      <c r="R11" s="261"/>
      <c r="S11" s="261"/>
      <c r="T11" s="261"/>
      <c r="U11" s="262">
        <f>+Q11-R11+S11-T11</f>
        <v>86697651</v>
      </c>
      <c r="V11" s="456" t="s">
        <v>525</v>
      </c>
      <c r="W11" s="756">
        <v>47</v>
      </c>
      <c r="X11" s="265" t="s">
        <v>526</v>
      </c>
      <c r="Y11" s="599">
        <v>73326</v>
      </c>
      <c r="Z11" s="599">
        <v>68186</v>
      </c>
      <c r="AA11" s="599">
        <v>24765</v>
      </c>
      <c r="AB11" s="599">
        <v>9035</v>
      </c>
      <c r="AC11" s="599">
        <v>78547</v>
      </c>
      <c r="AD11" s="599">
        <v>29166</v>
      </c>
      <c r="AE11" s="599">
        <v>812</v>
      </c>
      <c r="AF11" s="599">
        <v>1701</v>
      </c>
      <c r="AG11" s="599">
        <v>6</v>
      </c>
      <c r="AH11" s="599">
        <v>2</v>
      </c>
      <c r="AI11" s="599">
        <v>0</v>
      </c>
      <c r="AJ11" s="599">
        <f>AJ10/4</f>
        <v>0</v>
      </c>
      <c r="AK11" s="599">
        <v>12737</v>
      </c>
      <c r="AL11" s="599">
        <v>7139</v>
      </c>
      <c r="AM11" s="599">
        <v>13479</v>
      </c>
      <c r="AN11" s="599">
        <v>141512</v>
      </c>
      <c r="AO11" s="448">
        <v>45659</v>
      </c>
      <c r="AP11" s="448">
        <v>46021</v>
      </c>
      <c r="AQ11" s="28" t="s">
        <v>521</v>
      </c>
    </row>
    <row r="12" spans="1:61" ht="76.5" hidden="1">
      <c r="A12" s="23">
        <v>1</v>
      </c>
      <c r="B12" s="133" t="s">
        <v>513</v>
      </c>
      <c r="C12" s="28">
        <v>33</v>
      </c>
      <c r="D12" s="28" t="s">
        <v>514</v>
      </c>
      <c r="E12" s="28">
        <v>3302</v>
      </c>
      <c r="F12" s="133" t="s">
        <v>515</v>
      </c>
      <c r="G12" s="260">
        <v>3302070</v>
      </c>
      <c r="H12" s="133" t="s">
        <v>522</v>
      </c>
      <c r="I12" s="260">
        <v>330207000</v>
      </c>
      <c r="J12" s="133" t="s">
        <v>523</v>
      </c>
      <c r="K12" s="265">
        <v>19</v>
      </c>
      <c r="L12" s="265"/>
      <c r="M12" s="265">
        <f t="shared" si="0"/>
        <v>19</v>
      </c>
      <c r="N12" s="23">
        <v>2024003630046</v>
      </c>
      <c r="O12" s="755" t="s">
        <v>518</v>
      </c>
      <c r="P12" s="267" t="s">
        <v>527</v>
      </c>
      <c r="Q12" s="263">
        <v>71000000</v>
      </c>
      <c r="R12" s="261">
        <f>3500000+3000000+3000000+7700000+7000000+10800000+7700000+6000000+10500000+2000000+3000000</f>
        <v>64200000</v>
      </c>
      <c r="S12" s="261">
        <v>7000000</v>
      </c>
      <c r="T12" s="261"/>
      <c r="U12" s="262">
        <f>+Q12-R12+S12-T12</f>
        <v>13800000</v>
      </c>
      <c r="V12" s="456" t="s">
        <v>528</v>
      </c>
      <c r="W12" s="756">
        <v>20</v>
      </c>
      <c r="X12" s="265" t="s">
        <v>67</v>
      </c>
      <c r="Y12" s="599">
        <v>73326</v>
      </c>
      <c r="Z12" s="599">
        <v>68186</v>
      </c>
      <c r="AA12" s="599">
        <v>24765</v>
      </c>
      <c r="AB12" s="599">
        <v>9035</v>
      </c>
      <c r="AC12" s="599">
        <v>78547</v>
      </c>
      <c r="AD12" s="599">
        <v>29166</v>
      </c>
      <c r="AE12" s="599">
        <v>812</v>
      </c>
      <c r="AF12" s="599">
        <v>1701</v>
      </c>
      <c r="AG12" s="599">
        <v>6</v>
      </c>
      <c r="AH12" s="599">
        <v>2</v>
      </c>
      <c r="AI12" s="599">
        <v>0</v>
      </c>
      <c r="AJ12" s="599">
        <f>AJ11/4</f>
        <v>0</v>
      </c>
      <c r="AK12" s="599">
        <v>12737</v>
      </c>
      <c r="AL12" s="599">
        <v>7139</v>
      </c>
      <c r="AM12" s="599">
        <v>13479</v>
      </c>
      <c r="AN12" s="599">
        <v>141512</v>
      </c>
      <c r="AO12" s="448">
        <v>45659</v>
      </c>
      <c r="AP12" s="448">
        <v>46021</v>
      </c>
      <c r="AQ12" s="28" t="s">
        <v>521</v>
      </c>
    </row>
    <row r="13" spans="1:61" ht="76.5" hidden="1">
      <c r="A13" s="23">
        <v>1</v>
      </c>
      <c r="B13" s="133" t="s">
        <v>513</v>
      </c>
      <c r="C13" s="28">
        <v>33</v>
      </c>
      <c r="D13" s="28" t="s">
        <v>514</v>
      </c>
      <c r="E13" s="28">
        <v>3302</v>
      </c>
      <c r="F13" s="133" t="s">
        <v>515</v>
      </c>
      <c r="G13" s="260">
        <v>3302070</v>
      </c>
      <c r="H13" s="133" t="s">
        <v>522</v>
      </c>
      <c r="I13" s="260">
        <v>330207000</v>
      </c>
      <c r="J13" s="133" t="s">
        <v>523</v>
      </c>
      <c r="K13" s="265">
        <v>19</v>
      </c>
      <c r="L13" s="265"/>
      <c r="M13" s="265">
        <f t="shared" si="0"/>
        <v>19</v>
      </c>
      <c r="N13" s="23">
        <v>2024003630046</v>
      </c>
      <c r="O13" s="755" t="s">
        <v>518</v>
      </c>
      <c r="P13" s="267" t="s">
        <v>529</v>
      </c>
      <c r="Q13" s="264">
        <v>7000000</v>
      </c>
      <c r="R13" s="261"/>
      <c r="S13" s="261"/>
      <c r="T13" s="261"/>
      <c r="U13" s="262">
        <f>+Q13-R13+S13-T13</f>
        <v>7000000</v>
      </c>
      <c r="V13" s="456" t="s">
        <v>530</v>
      </c>
      <c r="W13" s="756">
        <v>20</v>
      </c>
      <c r="X13" s="265" t="s">
        <v>67</v>
      </c>
      <c r="Y13" s="599">
        <v>73326</v>
      </c>
      <c r="Z13" s="599">
        <v>68186</v>
      </c>
      <c r="AA13" s="599">
        <v>24765</v>
      </c>
      <c r="AB13" s="599">
        <v>9035</v>
      </c>
      <c r="AC13" s="599">
        <v>78547</v>
      </c>
      <c r="AD13" s="599">
        <v>29166</v>
      </c>
      <c r="AE13" s="599">
        <v>812</v>
      </c>
      <c r="AF13" s="599">
        <v>1701</v>
      </c>
      <c r="AG13" s="599">
        <v>6</v>
      </c>
      <c r="AH13" s="599">
        <v>2</v>
      </c>
      <c r="AI13" s="599">
        <v>0</v>
      </c>
      <c r="AJ13" s="599">
        <f>AJ11/4</f>
        <v>0</v>
      </c>
      <c r="AK13" s="599">
        <v>12737</v>
      </c>
      <c r="AL13" s="599">
        <v>7139</v>
      </c>
      <c r="AM13" s="599">
        <v>13479</v>
      </c>
      <c r="AN13" s="599">
        <v>141512</v>
      </c>
      <c r="AO13" s="448">
        <v>45659</v>
      </c>
      <c r="AP13" s="448">
        <v>46021</v>
      </c>
      <c r="AQ13" s="28" t="s">
        <v>521</v>
      </c>
    </row>
    <row r="14" spans="1:61" ht="76.5" hidden="1">
      <c r="A14" s="23">
        <v>1</v>
      </c>
      <c r="B14" s="133" t="s">
        <v>513</v>
      </c>
      <c r="C14" s="28">
        <v>33</v>
      </c>
      <c r="D14" s="28" t="s">
        <v>514</v>
      </c>
      <c r="E14" s="28">
        <v>3302</v>
      </c>
      <c r="F14" s="133" t="s">
        <v>515</v>
      </c>
      <c r="G14" s="260">
        <v>3302070</v>
      </c>
      <c r="H14" s="133" t="s">
        <v>522</v>
      </c>
      <c r="I14" s="260">
        <v>330207000</v>
      </c>
      <c r="J14" s="133" t="s">
        <v>523</v>
      </c>
      <c r="K14" s="265">
        <v>19</v>
      </c>
      <c r="L14" s="265"/>
      <c r="M14" s="265">
        <f t="shared" si="0"/>
        <v>19</v>
      </c>
      <c r="N14" s="23">
        <v>2024003630046</v>
      </c>
      <c r="O14" s="755" t="s">
        <v>518</v>
      </c>
      <c r="P14" s="267" t="s">
        <v>531</v>
      </c>
      <c r="Q14" s="264">
        <v>7000000</v>
      </c>
      <c r="R14" s="261"/>
      <c r="S14" s="261"/>
      <c r="T14" s="261"/>
      <c r="U14" s="262">
        <f>+Q14-R14+S14-T14</f>
        <v>7000000</v>
      </c>
      <c r="V14" s="456" t="s">
        <v>532</v>
      </c>
      <c r="W14" s="756">
        <v>20</v>
      </c>
      <c r="X14" s="265" t="s">
        <v>67</v>
      </c>
      <c r="Y14" s="599">
        <v>73326</v>
      </c>
      <c r="Z14" s="599">
        <v>68186</v>
      </c>
      <c r="AA14" s="599">
        <v>24765</v>
      </c>
      <c r="AB14" s="599">
        <v>9035</v>
      </c>
      <c r="AC14" s="599">
        <v>78547</v>
      </c>
      <c r="AD14" s="599">
        <v>29166</v>
      </c>
      <c r="AE14" s="599">
        <v>812</v>
      </c>
      <c r="AF14" s="599">
        <v>1701</v>
      </c>
      <c r="AG14" s="599">
        <v>6</v>
      </c>
      <c r="AH14" s="599">
        <v>2</v>
      </c>
      <c r="AI14" s="599">
        <v>0</v>
      </c>
      <c r="AJ14" s="599">
        <f>AJ13/4</f>
        <v>0</v>
      </c>
      <c r="AK14" s="599">
        <v>12737</v>
      </c>
      <c r="AL14" s="599">
        <v>7139</v>
      </c>
      <c r="AM14" s="599">
        <v>13479</v>
      </c>
      <c r="AN14" s="599">
        <v>141512</v>
      </c>
      <c r="AO14" s="448">
        <v>45659</v>
      </c>
      <c r="AP14" s="448">
        <v>46021</v>
      </c>
      <c r="AQ14" s="28" t="s">
        <v>521</v>
      </c>
    </row>
    <row r="15" spans="1:61" ht="76.5" hidden="1">
      <c r="A15" s="23">
        <v>1</v>
      </c>
      <c r="B15" s="133" t="s">
        <v>513</v>
      </c>
      <c r="C15" s="28">
        <v>33</v>
      </c>
      <c r="D15" s="28" t="s">
        <v>514</v>
      </c>
      <c r="E15" s="28">
        <v>3302</v>
      </c>
      <c r="F15" s="133" t="s">
        <v>515</v>
      </c>
      <c r="G15" s="260">
        <v>3302078</v>
      </c>
      <c r="H15" s="133" t="s">
        <v>533</v>
      </c>
      <c r="I15" s="260">
        <v>330207800</v>
      </c>
      <c r="J15" s="133" t="s">
        <v>534</v>
      </c>
      <c r="K15" s="265">
        <v>10</v>
      </c>
      <c r="L15" s="265"/>
      <c r="M15" s="265">
        <f t="shared" si="0"/>
        <v>10</v>
      </c>
      <c r="N15" s="23">
        <v>2024003630046</v>
      </c>
      <c r="O15" s="755" t="s">
        <v>535</v>
      </c>
      <c r="P15" s="267" t="s">
        <v>536</v>
      </c>
      <c r="Q15" s="261">
        <v>50000000</v>
      </c>
      <c r="R15" s="261">
        <f>4100000+7000000+7000000+2000000+6000000</f>
        <v>26100000</v>
      </c>
      <c r="S15" s="261"/>
      <c r="T15" s="261"/>
      <c r="U15" s="262">
        <f>+Q15-R15+S15-T15</f>
        <v>23900000</v>
      </c>
      <c r="V15" s="115" t="s">
        <v>537</v>
      </c>
      <c r="W15" s="756">
        <v>20</v>
      </c>
      <c r="X15" s="265" t="s">
        <v>67</v>
      </c>
      <c r="Y15" s="599">
        <v>73326</v>
      </c>
      <c r="Z15" s="599">
        <v>68186</v>
      </c>
      <c r="AA15" s="599">
        <v>24765</v>
      </c>
      <c r="AB15" s="599">
        <v>9035</v>
      </c>
      <c r="AC15" s="599">
        <v>78547</v>
      </c>
      <c r="AD15" s="599">
        <v>29166</v>
      </c>
      <c r="AE15" s="599">
        <v>812</v>
      </c>
      <c r="AF15" s="599">
        <v>1701</v>
      </c>
      <c r="AG15" s="599">
        <v>6</v>
      </c>
      <c r="AH15" s="599">
        <v>2</v>
      </c>
      <c r="AI15" s="599">
        <v>0</v>
      </c>
      <c r="AJ15" s="599" t="e">
        <f>#REF!/4</f>
        <v>#REF!</v>
      </c>
      <c r="AK15" s="599">
        <v>12737</v>
      </c>
      <c r="AL15" s="599">
        <v>7139</v>
      </c>
      <c r="AM15" s="599">
        <v>13479</v>
      </c>
      <c r="AN15" s="599">
        <v>141512</v>
      </c>
      <c r="AO15" s="448">
        <v>45659</v>
      </c>
      <c r="AP15" s="448">
        <v>46021</v>
      </c>
      <c r="AQ15" s="28" t="s">
        <v>521</v>
      </c>
    </row>
    <row r="16" spans="1:61" ht="76.5" hidden="1">
      <c r="A16" s="23">
        <v>1</v>
      </c>
      <c r="B16" s="133" t="s">
        <v>513</v>
      </c>
      <c r="C16" s="28">
        <v>33</v>
      </c>
      <c r="D16" s="28" t="s">
        <v>514</v>
      </c>
      <c r="E16" s="28">
        <v>3302</v>
      </c>
      <c r="F16" s="133" t="s">
        <v>515</v>
      </c>
      <c r="G16" s="260">
        <v>3302002</v>
      </c>
      <c r="H16" s="133" t="s">
        <v>538</v>
      </c>
      <c r="I16" s="260">
        <v>330200200</v>
      </c>
      <c r="J16" s="133" t="s">
        <v>539</v>
      </c>
      <c r="K16" s="265">
        <v>1</v>
      </c>
      <c r="L16" s="265"/>
      <c r="M16" s="265">
        <f t="shared" si="0"/>
        <v>1</v>
      </c>
      <c r="N16" s="23">
        <v>2024003630046</v>
      </c>
      <c r="O16" s="755" t="s">
        <v>518</v>
      </c>
      <c r="P16" s="267" t="s">
        <v>540</v>
      </c>
      <c r="Q16" s="261">
        <v>30000000</v>
      </c>
      <c r="R16" s="261">
        <f>3000000+2000000+4500000+5000000</f>
        <v>14500000</v>
      </c>
      <c r="S16" s="261"/>
      <c r="T16" s="261"/>
      <c r="U16" s="944">
        <f>+Q16-R16+S16-T16</f>
        <v>15500000</v>
      </c>
      <c r="V16" s="115" t="s">
        <v>541</v>
      </c>
      <c r="W16" s="756">
        <v>20</v>
      </c>
      <c r="X16" s="265" t="s">
        <v>67</v>
      </c>
      <c r="Y16" s="599">
        <v>73326</v>
      </c>
      <c r="Z16" s="599">
        <v>68186</v>
      </c>
      <c r="AA16" s="599">
        <v>24765</v>
      </c>
      <c r="AB16" s="599">
        <v>9035</v>
      </c>
      <c r="AC16" s="599">
        <v>78547</v>
      </c>
      <c r="AD16" s="599">
        <v>29166</v>
      </c>
      <c r="AE16" s="599">
        <v>812</v>
      </c>
      <c r="AF16" s="599">
        <v>1701</v>
      </c>
      <c r="AG16" s="599">
        <v>6</v>
      </c>
      <c r="AH16" s="599">
        <v>2</v>
      </c>
      <c r="AI16" s="599">
        <v>0</v>
      </c>
      <c r="AJ16" s="599" t="e">
        <f>AJ15/4</f>
        <v>#REF!</v>
      </c>
      <c r="AK16" s="599">
        <v>12737</v>
      </c>
      <c r="AL16" s="599">
        <v>7139</v>
      </c>
      <c r="AM16" s="599">
        <v>13479</v>
      </c>
      <c r="AN16" s="599">
        <v>141512</v>
      </c>
      <c r="AO16" s="448">
        <v>45659</v>
      </c>
      <c r="AP16" s="448">
        <v>46021</v>
      </c>
      <c r="AQ16" s="28" t="s">
        <v>521</v>
      </c>
    </row>
    <row r="17" spans="1:43" ht="76.5" hidden="1">
      <c r="A17" s="23">
        <v>1</v>
      </c>
      <c r="B17" s="133" t="s">
        <v>513</v>
      </c>
      <c r="C17" s="28">
        <v>33</v>
      </c>
      <c r="D17" s="28" t="s">
        <v>514</v>
      </c>
      <c r="E17" s="23">
        <v>3301</v>
      </c>
      <c r="F17" s="133" t="s">
        <v>542</v>
      </c>
      <c r="G17" s="23">
        <v>3301070</v>
      </c>
      <c r="H17" s="133" t="s">
        <v>543</v>
      </c>
      <c r="I17" s="23">
        <v>330107000</v>
      </c>
      <c r="J17" s="133" t="s">
        <v>539</v>
      </c>
      <c r="K17" s="265">
        <v>0.5</v>
      </c>
      <c r="L17" s="266">
        <v>0.28000000000000003</v>
      </c>
      <c r="M17" s="265">
        <f>+K17+L17</f>
        <v>0.78</v>
      </c>
      <c r="N17" s="23" t="s">
        <v>544</v>
      </c>
      <c r="O17" s="755" t="s">
        <v>545</v>
      </c>
      <c r="P17" s="757" t="s">
        <v>546</v>
      </c>
      <c r="Q17" s="758">
        <v>30000000</v>
      </c>
      <c r="R17" s="261">
        <f>9800000+8000000+7000000</f>
        <v>24800000</v>
      </c>
      <c r="S17" s="261"/>
      <c r="T17" s="261"/>
      <c r="U17" s="262">
        <f>+Q17-R17+S17-T17</f>
        <v>5200000</v>
      </c>
      <c r="V17" s="145" t="s">
        <v>547</v>
      </c>
      <c r="W17" s="756">
        <v>20</v>
      </c>
      <c r="X17" s="265" t="s">
        <v>67</v>
      </c>
      <c r="Y17" s="457">
        <v>784</v>
      </c>
      <c r="Z17" s="457">
        <v>837</v>
      </c>
      <c r="AA17" s="457">
        <v>0</v>
      </c>
      <c r="AB17" s="457">
        <v>216</v>
      </c>
      <c r="AC17" s="457">
        <v>971</v>
      </c>
      <c r="AD17" s="457">
        <v>394</v>
      </c>
      <c r="AE17" s="457">
        <v>16</v>
      </c>
      <c r="AF17" s="457">
        <v>20</v>
      </c>
      <c r="AG17" s="457">
        <v>0</v>
      </c>
      <c r="AH17" s="457">
        <v>0</v>
      </c>
      <c r="AI17" s="457">
        <v>0</v>
      </c>
      <c r="AJ17" s="457">
        <v>0</v>
      </c>
      <c r="AK17" s="265">
        <v>0</v>
      </c>
      <c r="AL17" s="457">
        <v>6</v>
      </c>
      <c r="AM17" s="457">
        <v>0</v>
      </c>
      <c r="AN17" s="457">
        <v>1621</v>
      </c>
      <c r="AO17" s="448">
        <v>45659</v>
      </c>
      <c r="AP17" s="448">
        <v>46021</v>
      </c>
      <c r="AQ17" s="28" t="s">
        <v>521</v>
      </c>
    </row>
    <row r="18" spans="1:43" ht="76.5" hidden="1">
      <c r="A18" s="23">
        <v>1</v>
      </c>
      <c r="B18" s="133" t="s">
        <v>513</v>
      </c>
      <c r="C18" s="28">
        <v>33</v>
      </c>
      <c r="D18" s="28" t="s">
        <v>514</v>
      </c>
      <c r="E18" s="23">
        <v>3301</v>
      </c>
      <c r="F18" s="133" t="s">
        <v>542</v>
      </c>
      <c r="G18" s="23">
        <v>3301099</v>
      </c>
      <c r="H18" s="133" t="s">
        <v>548</v>
      </c>
      <c r="I18" s="23">
        <v>330109900</v>
      </c>
      <c r="J18" s="133" t="s">
        <v>549</v>
      </c>
      <c r="K18" s="265">
        <v>0.25</v>
      </c>
      <c r="L18" s="265"/>
      <c r="M18" s="265">
        <f>+K18+L18</f>
        <v>0.25</v>
      </c>
      <c r="N18" s="23" t="s">
        <v>544</v>
      </c>
      <c r="O18" s="755" t="s">
        <v>545</v>
      </c>
      <c r="P18" s="759" t="s">
        <v>550</v>
      </c>
      <c r="Q18" s="261">
        <v>70000000</v>
      </c>
      <c r="R18" s="261"/>
      <c r="S18" s="261"/>
      <c r="T18" s="261"/>
      <c r="U18" s="262">
        <f>+Q18-R18+S18-T18</f>
        <v>70000000</v>
      </c>
      <c r="V18" s="145" t="s">
        <v>551</v>
      </c>
      <c r="W18" s="756">
        <v>20</v>
      </c>
      <c r="X18" s="265" t="s">
        <v>67</v>
      </c>
      <c r="Y18" s="457">
        <v>784</v>
      </c>
      <c r="Z18" s="457">
        <v>837</v>
      </c>
      <c r="AA18" s="457">
        <v>0</v>
      </c>
      <c r="AB18" s="457">
        <v>216</v>
      </c>
      <c r="AC18" s="457">
        <v>971</v>
      </c>
      <c r="AD18" s="457">
        <v>394</v>
      </c>
      <c r="AE18" s="457">
        <v>16</v>
      </c>
      <c r="AF18" s="457">
        <v>20</v>
      </c>
      <c r="AG18" s="457">
        <v>0</v>
      </c>
      <c r="AH18" s="457">
        <v>0</v>
      </c>
      <c r="AI18" s="457">
        <v>0</v>
      </c>
      <c r="AJ18" s="457">
        <v>0</v>
      </c>
      <c r="AK18" s="265">
        <v>0</v>
      </c>
      <c r="AL18" s="457">
        <v>6</v>
      </c>
      <c r="AM18" s="457">
        <v>0</v>
      </c>
      <c r="AN18" s="457">
        <v>1621</v>
      </c>
      <c r="AO18" s="448">
        <v>45659</v>
      </c>
      <c r="AP18" s="448">
        <v>46021</v>
      </c>
      <c r="AQ18" s="28" t="s">
        <v>521</v>
      </c>
    </row>
    <row r="19" spans="1:43" ht="76.5" hidden="1">
      <c r="A19" s="23">
        <v>1</v>
      </c>
      <c r="B19" s="133" t="s">
        <v>513</v>
      </c>
      <c r="C19" s="28">
        <v>33</v>
      </c>
      <c r="D19" s="28" t="s">
        <v>514</v>
      </c>
      <c r="E19" s="23">
        <v>3301</v>
      </c>
      <c r="F19" s="133" t="s">
        <v>542</v>
      </c>
      <c r="G19" s="23">
        <v>3301059</v>
      </c>
      <c r="H19" s="133" t="s">
        <v>552</v>
      </c>
      <c r="I19" s="23">
        <v>330105901</v>
      </c>
      <c r="J19" s="133" t="s">
        <v>553</v>
      </c>
      <c r="K19" s="265">
        <v>120</v>
      </c>
      <c r="L19" s="265">
        <v>20</v>
      </c>
      <c r="M19" s="265">
        <f>+K19+L19</f>
        <v>140</v>
      </c>
      <c r="N19" s="23" t="s">
        <v>544</v>
      </c>
      <c r="O19" s="755" t="s">
        <v>545</v>
      </c>
      <c r="P19" s="760" t="s">
        <v>554</v>
      </c>
      <c r="Q19" s="758">
        <v>35000000</v>
      </c>
      <c r="R19" s="261">
        <v>12000000</v>
      </c>
      <c r="S19" s="261"/>
      <c r="T19" s="261"/>
      <c r="U19" s="262">
        <f>+Q19-R19+S19-T19</f>
        <v>23000000</v>
      </c>
      <c r="V19" s="145" t="s">
        <v>555</v>
      </c>
      <c r="W19" s="756">
        <v>20</v>
      </c>
      <c r="X19" s="265" t="s">
        <v>67</v>
      </c>
      <c r="Y19" s="457">
        <v>784</v>
      </c>
      <c r="Z19" s="457">
        <v>837</v>
      </c>
      <c r="AA19" s="457">
        <v>0</v>
      </c>
      <c r="AB19" s="457">
        <v>216</v>
      </c>
      <c r="AC19" s="457">
        <v>971</v>
      </c>
      <c r="AD19" s="457">
        <v>394</v>
      </c>
      <c r="AE19" s="457">
        <v>16</v>
      </c>
      <c r="AF19" s="457">
        <v>20</v>
      </c>
      <c r="AG19" s="457">
        <v>0</v>
      </c>
      <c r="AH19" s="457">
        <v>0</v>
      </c>
      <c r="AI19" s="457">
        <v>0</v>
      </c>
      <c r="AJ19" s="457">
        <v>0</v>
      </c>
      <c r="AK19" s="265">
        <v>0</v>
      </c>
      <c r="AL19" s="457">
        <v>6</v>
      </c>
      <c r="AM19" s="457">
        <v>0</v>
      </c>
      <c r="AN19" s="457">
        <v>1621</v>
      </c>
      <c r="AO19" s="448">
        <v>45659</v>
      </c>
      <c r="AP19" s="448">
        <v>46021</v>
      </c>
      <c r="AQ19" s="28" t="s">
        <v>521</v>
      </c>
    </row>
    <row r="20" spans="1:43" ht="76.5" hidden="1">
      <c r="A20" s="23">
        <v>1</v>
      </c>
      <c r="B20" s="133" t="s">
        <v>513</v>
      </c>
      <c r="C20" s="28">
        <v>33</v>
      </c>
      <c r="D20" s="28" t="s">
        <v>514</v>
      </c>
      <c r="E20" s="23">
        <v>3301</v>
      </c>
      <c r="F20" s="133" t="s">
        <v>542</v>
      </c>
      <c r="G20" s="23">
        <v>3301074</v>
      </c>
      <c r="H20" s="133" t="s">
        <v>556</v>
      </c>
      <c r="I20" s="23">
        <v>330107400</v>
      </c>
      <c r="J20" s="133" t="s">
        <v>557</v>
      </c>
      <c r="K20" s="265">
        <v>70</v>
      </c>
      <c r="L20" s="265"/>
      <c r="M20" s="265">
        <f>+K20+L20</f>
        <v>70</v>
      </c>
      <c r="N20" s="23" t="s">
        <v>544</v>
      </c>
      <c r="O20" s="755" t="s">
        <v>545</v>
      </c>
      <c r="P20" s="267" t="s">
        <v>558</v>
      </c>
      <c r="Q20" s="264">
        <v>67000000</v>
      </c>
      <c r="R20" s="761">
        <f>5000000+7000000+14000000</f>
        <v>26000000</v>
      </c>
      <c r="S20" s="762"/>
      <c r="T20" s="274"/>
      <c r="U20" s="944">
        <f>+Q20-R20+S20-T20</f>
        <v>41000000</v>
      </c>
      <c r="V20" s="145" t="s">
        <v>559</v>
      </c>
      <c r="W20" s="756">
        <v>20</v>
      </c>
      <c r="X20" s="265" t="s">
        <v>67</v>
      </c>
      <c r="Y20" s="457">
        <v>784</v>
      </c>
      <c r="Z20" s="457">
        <v>837</v>
      </c>
      <c r="AA20" s="457">
        <v>0</v>
      </c>
      <c r="AB20" s="457">
        <v>216</v>
      </c>
      <c r="AC20" s="457">
        <v>971</v>
      </c>
      <c r="AD20" s="457">
        <v>394</v>
      </c>
      <c r="AE20" s="457">
        <v>16</v>
      </c>
      <c r="AF20" s="457">
        <v>20</v>
      </c>
      <c r="AG20" s="457">
        <v>0</v>
      </c>
      <c r="AH20" s="457">
        <v>0</v>
      </c>
      <c r="AI20" s="457">
        <v>0</v>
      </c>
      <c r="AJ20" s="457">
        <v>0</v>
      </c>
      <c r="AK20" s="265">
        <v>0</v>
      </c>
      <c r="AL20" s="457">
        <v>6</v>
      </c>
      <c r="AM20" s="457">
        <v>0</v>
      </c>
      <c r="AN20" s="457">
        <v>1621</v>
      </c>
      <c r="AO20" s="448">
        <v>45659</v>
      </c>
      <c r="AP20" s="448">
        <v>46021</v>
      </c>
      <c r="AQ20" s="28" t="s">
        <v>521</v>
      </c>
    </row>
    <row r="21" spans="1:43" ht="76.5" hidden="1" customHeight="1">
      <c r="A21" s="23">
        <v>1</v>
      </c>
      <c r="B21" s="133" t="s">
        <v>513</v>
      </c>
      <c r="C21" s="28">
        <v>33</v>
      </c>
      <c r="D21" s="28" t="s">
        <v>514</v>
      </c>
      <c r="E21" s="23">
        <v>3301</v>
      </c>
      <c r="F21" s="133" t="s">
        <v>542</v>
      </c>
      <c r="G21" s="23">
        <v>3301074</v>
      </c>
      <c r="H21" s="133" t="s">
        <v>556</v>
      </c>
      <c r="I21" s="23">
        <v>330107400</v>
      </c>
      <c r="J21" s="133" t="s">
        <v>557</v>
      </c>
      <c r="K21" s="265">
        <v>70</v>
      </c>
      <c r="L21" s="265"/>
      <c r="M21" s="265">
        <f t="shared" ref="M21:M38" si="1">+K21+L21</f>
        <v>70</v>
      </c>
      <c r="N21" s="23" t="s">
        <v>544</v>
      </c>
      <c r="O21" s="755" t="s">
        <v>545</v>
      </c>
      <c r="P21" s="267" t="s">
        <v>560</v>
      </c>
      <c r="Q21" s="264">
        <v>6000000</v>
      </c>
      <c r="R21" s="763"/>
      <c r="S21" s="764"/>
      <c r="T21" s="261"/>
      <c r="U21" s="262">
        <f>+Q21-R21+S21-T21</f>
        <v>6000000</v>
      </c>
      <c r="V21" s="145" t="s">
        <v>561</v>
      </c>
      <c r="W21" s="756">
        <v>20</v>
      </c>
      <c r="X21" s="265" t="s">
        <v>67</v>
      </c>
      <c r="Y21" s="457">
        <v>784</v>
      </c>
      <c r="Z21" s="457">
        <v>837</v>
      </c>
      <c r="AA21" s="457">
        <v>0</v>
      </c>
      <c r="AB21" s="457">
        <v>216</v>
      </c>
      <c r="AC21" s="457">
        <v>971</v>
      </c>
      <c r="AD21" s="457">
        <v>394</v>
      </c>
      <c r="AE21" s="457">
        <v>16</v>
      </c>
      <c r="AF21" s="457">
        <v>20</v>
      </c>
      <c r="AG21" s="457">
        <v>0</v>
      </c>
      <c r="AH21" s="457">
        <v>0</v>
      </c>
      <c r="AI21" s="457">
        <v>0</v>
      </c>
      <c r="AJ21" s="457">
        <v>0</v>
      </c>
      <c r="AK21" s="265">
        <v>0</v>
      </c>
      <c r="AL21" s="457">
        <v>6</v>
      </c>
      <c r="AM21" s="457">
        <v>0</v>
      </c>
      <c r="AN21" s="457">
        <v>1621</v>
      </c>
      <c r="AO21" s="448">
        <v>45659</v>
      </c>
      <c r="AP21" s="448">
        <v>46021</v>
      </c>
      <c r="AQ21" s="28" t="s">
        <v>521</v>
      </c>
    </row>
    <row r="22" spans="1:43" ht="76.5" hidden="1" customHeight="1">
      <c r="A22" s="23">
        <v>1</v>
      </c>
      <c r="B22" s="133" t="s">
        <v>513</v>
      </c>
      <c r="C22" s="28">
        <v>33</v>
      </c>
      <c r="D22" s="28" t="s">
        <v>514</v>
      </c>
      <c r="E22" s="23">
        <v>3301</v>
      </c>
      <c r="F22" s="133" t="s">
        <v>542</v>
      </c>
      <c r="G22" s="23">
        <v>3301074</v>
      </c>
      <c r="H22" s="133" t="s">
        <v>556</v>
      </c>
      <c r="I22" s="23">
        <v>330107400</v>
      </c>
      <c r="J22" s="133" t="s">
        <v>557</v>
      </c>
      <c r="K22" s="265">
        <v>70</v>
      </c>
      <c r="L22" s="265"/>
      <c r="M22" s="265">
        <f t="shared" si="1"/>
        <v>70</v>
      </c>
      <c r="N22" s="23" t="s">
        <v>544</v>
      </c>
      <c r="O22" s="755" t="s">
        <v>545</v>
      </c>
      <c r="P22" s="267" t="s">
        <v>562</v>
      </c>
      <c r="Q22" s="264">
        <v>10000000</v>
      </c>
      <c r="R22" s="274"/>
      <c r="S22" s="261"/>
      <c r="T22" s="261"/>
      <c r="U22" s="262">
        <f>+Q22-R22+S22-T22</f>
        <v>10000000</v>
      </c>
      <c r="V22" s="145" t="s">
        <v>563</v>
      </c>
      <c r="W22" s="756">
        <v>20</v>
      </c>
      <c r="X22" s="265" t="s">
        <v>67</v>
      </c>
      <c r="Y22" s="457">
        <v>784</v>
      </c>
      <c r="Z22" s="457">
        <v>837</v>
      </c>
      <c r="AA22" s="457">
        <v>0</v>
      </c>
      <c r="AB22" s="457">
        <v>216</v>
      </c>
      <c r="AC22" s="457">
        <v>971</v>
      </c>
      <c r="AD22" s="457">
        <v>394</v>
      </c>
      <c r="AE22" s="457">
        <v>16</v>
      </c>
      <c r="AF22" s="457">
        <v>20</v>
      </c>
      <c r="AG22" s="457">
        <v>0</v>
      </c>
      <c r="AH22" s="457">
        <v>0</v>
      </c>
      <c r="AI22" s="457">
        <v>0</v>
      </c>
      <c r="AJ22" s="457">
        <v>0</v>
      </c>
      <c r="AK22" s="265">
        <v>0</v>
      </c>
      <c r="AL22" s="457">
        <v>6</v>
      </c>
      <c r="AM22" s="457">
        <v>0</v>
      </c>
      <c r="AN22" s="457">
        <v>1621</v>
      </c>
      <c r="AO22" s="448">
        <v>45659</v>
      </c>
      <c r="AP22" s="448">
        <v>46021</v>
      </c>
      <c r="AQ22" s="28" t="s">
        <v>521</v>
      </c>
    </row>
    <row r="23" spans="1:43" ht="76.5" hidden="1">
      <c r="A23" s="23">
        <v>1</v>
      </c>
      <c r="B23" s="133" t="s">
        <v>513</v>
      </c>
      <c r="C23" s="28">
        <v>33</v>
      </c>
      <c r="D23" s="28" t="s">
        <v>514</v>
      </c>
      <c r="E23" s="23">
        <v>3301</v>
      </c>
      <c r="F23" s="133" t="s">
        <v>542</v>
      </c>
      <c r="G23" s="23">
        <v>3301087</v>
      </c>
      <c r="H23" s="133" t="s">
        <v>564</v>
      </c>
      <c r="I23" s="23">
        <v>330108701</v>
      </c>
      <c r="J23" s="133" t="s">
        <v>565</v>
      </c>
      <c r="K23" s="265">
        <v>115</v>
      </c>
      <c r="L23" s="265"/>
      <c r="M23" s="265">
        <f t="shared" si="1"/>
        <v>115</v>
      </c>
      <c r="N23" s="23" t="s">
        <v>544</v>
      </c>
      <c r="O23" s="755" t="s">
        <v>545</v>
      </c>
      <c r="P23" s="267" t="s">
        <v>566</v>
      </c>
      <c r="Q23" s="264">
        <v>66000000</v>
      </c>
      <c r="R23" s="271">
        <f>6800000+9000000+4000000</f>
        <v>19800000</v>
      </c>
      <c r="S23" s="271"/>
      <c r="T23" s="271"/>
      <c r="U23" s="262">
        <f>+Q23-R23+S23-T23</f>
        <v>46200000</v>
      </c>
      <c r="V23" s="145" t="s">
        <v>567</v>
      </c>
      <c r="W23" s="756">
        <v>20</v>
      </c>
      <c r="X23" s="265" t="s">
        <v>67</v>
      </c>
      <c r="Y23" s="457">
        <v>784</v>
      </c>
      <c r="Z23" s="457">
        <v>837</v>
      </c>
      <c r="AA23" s="457">
        <v>0</v>
      </c>
      <c r="AB23" s="457">
        <v>216</v>
      </c>
      <c r="AC23" s="457">
        <v>971</v>
      </c>
      <c r="AD23" s="457">
        <v>394</v>
      </c>
      <c r="AE23" s="457">
        <v>16</v>
      </c>
      <c r="AF23" s="457">
        <v>20</v>
      </c>
      <c r="AG23" s="457">
        <v>0</v>
      </c>
      <c r="AH23" s="457">
        <v>0</v>
      </c>
      <c r="AI23" s="457">
        <v>0</v>
      </c>
      <c r="AJ23" s="457">
        <v>0</v>
      </c>
      <c r="AK23" s="265">
        <v>0</v>
      </c>
      <c r="AL23" s="457">
        <v>6</v>
      </c>
      <c r="AM23" s="457">
        <v>0</v>
      </c>
      <c r="AN23" s="457">
        <v>1621</v>
      </c>
      <c r="AO23" s="448">
        <v>45659</v>
      </c>
      <c r="AP23" s="448">
        <v>46021</v>
      </c>
      <c r="AQ23" s="28" t="s">
        <v>521</v>
      </c>
    </row>
    <row r="24" spans="1:43" ht="76.5" hidden="1">
      <c r="A24" s="23">
        <v>1</v>
      </c>
      <c r="B24" s="133" t="s">
        <v>513</v>
      </c>
      <c r="C24" s="28">
        <v>33</v>
      </c>
      <c r="D24" s="28" t="s">
        <v>514</v>
      </c>
      <c r="E24" s="23">
        <v>3301</v>
      </c>
      <c r="F24" s="133" t="s">
        <v>542</v>
      </c>
      <c r="G24" s="23">
        <v>3301087</v>
      </c>
      <c r="H24" s="133" t="s">
        <v>564</v>
      </c>
      <c r="I24" s="23">
        <v>330108701</v>
      </c>
      <c r="J24" s="133" t="s">
        <v>565</v>
      </c>
      <c r="K24" s="265">
        <v>115</v>
      </c>
      <c r="L24" s="265"/>
      <c r="M24" s="265">
        <f t="shared" si="1"/>
        <v>115</v>
      </c>
      <c r="N24" s="23" t="s">
        <v>544</v>
      </c>
      <c r="O24" s="755" t="s">
        <v>545</v>
      </c>
      <c r="P24" s="267" t="s">
        <v>568</v>
      </c>
      <c r="Q24" s="264">
        <v>4000000</v>
      </c>
      <c r="R24" s="271"/>
      <c r="S24" s="271"/>
      <c r="T24" s="271"/>
      <c r="U24" s="262">
        <f>+Q24-R24+S24-T24</f>
        <v>4000000</v>
      </c>
      <c r="V24" s="145" t="s">
        <v>569</v>
      </c>
      <c r="W24" s="756">
        <v>20</v>
      </c>
      <c r="X24" s="265" t="s">
        <v>67</v>
      </c>
      <c r="Y24" s="457">
        <v>784</v>
      </c>
      <c r="Z24" s="457">
        <v>837</v>
      </c>
      <c r="AA24" s="457">
        <v>0</v>
      </c>
      <c r="AB24" s="457">
        <v>216</v>
      </c>
      <c r="AC24" s="457">
        <v>971</v>
      </c>
      <c r="AD24" s="457">
        <v>394</v>
      </c>
      <c r="AE24" s="457">
        <v>16</v>
      </c>
      <c r="AF24" s="457">
        <v>20</v>
      </c>
      <c r="AG24" s="457">
        <v>0</v>
      </c>
      <c r="AH24" s="457">
        <v>0</v>
      </c>
      <c r="AI24" s="457">
        <v>0</v>
      </c>
      <c r="AJ24" s="457">
        <v>0</v>
      </c>
      <c r="AK24" s="265">
        <v>0</v>
      </c>
      <c r="AL24" s="457">
        <v>6</v>
      </c>
      <c r="AM24" s="457">
        <v>0</v>
      </c>
      <c r="AN24" s="457">
        <v>1621</v>
      </c>
      <c r="AO24" s="448">
        <v>45659</v>
      </c>
      <c r="AP24" s="448">
        <v>46021</v>
      </c>
      <c r="AQ24" s="28" t="s">
        <v>521</v>
      </c>
    </row>
    <row r="25" spans="1:43" ht="76.5" hidden="1">
      <c r="A25" s="23">
        <v>1</v>
      </c>
      <c r="B25" s="133" t="s">
        <v>513</v>
      </c>
      <c r="C25" s="28">
        <v>33</v>
      </c>
      <c r="D25" s="28" t="s">
        <v>514</v>
      </c>
      <c r="E25" s="23">
        <v>3301</v>
      </c>
      <c r="F25" s="133" t="s">
        <v>542</v>
      </c>
      <c r="G25" s="23">
        <v>3301087</v>
      </c>
      <c r="H25" s="133" t="s">
        <v>564</v>
      </c>
      <c r="I25" s="23">
        <v>330108701</v>
      </c>
      <c r="J25" s="133" t="s">
        <v>565</v>
      </c>
      <c r="K25" s="265">
        <v>1000</v>
      </c>
      <c r="L25" s="265"/>
      <c r="M25" s="265">
        <f t="shared" si="1"/>
        <v>1000</v>
      </c>
      <c r="N25" s="23">
        <v>2024003630050</v>
      </c>
      <c r="O25" s="755" t="s">
        <v>570</v>
      </c>
      <c r="P25" s="268" t="s">
        <v>571</v>
      </c>
      <c r="Q25" s="269">
        <v>72000000</v>
      </c>
      <c r="R25" s="271">
        <f>4600000+5000000+3500000+7000000+12800000+7000000</f>
        <v>39900000</v>
      </c>
      <c r="S25" s="271"/>
      <c r="T25" s="271"/>
      <c r="U25" s="262">
        <f>+Q25-R25+S25-T25</f>
        <v>32100000</v>
      </c>
      <c r="V25" s="765" t="s">
        <v>572</v>
      </c>
      <c r="W25" s="756">
        <v>20</v>
      </c>
      <c r="X25" s="265" t="s">
        <v>67</v>
      </c>
      <c r="Y25" s="599">
        <v>62400</v>
      </c>
      <c r="Z25" s="599">
        <v>57600</v>
      </c>
      <c r="AA25" s="599">
        <v>44400</v>
      </c>
      <c r="AB25" s="599">
        <v>20450</v>
      </c>
      <c r="AC25" s="599">
        <v>38450</v>
      </c>
      <c r="AD25" s="599">
        <v>16800</v>
      </c>
      <c r="AE25" s="599">
        <v>200</v>
      </c>
      <c r="AF25" s="599">
        <v>300</v>
      </c>
      <c r="AG25" s="599">
        <v>0</v>
      </c>
      <c r="AH25" s="599">
        <v>0</v>
      </c>
      <c r="AI25" s="599">
        <v>0</v>
      </c>
      <c r="AJ25" s="599">
        <v>0</v>
      </c>
      <c r="AK25" s="599">
        <v>5</v>
      </c>
      <c r="AL25" s="599">
        <v>1250</v>
      </c>
      <c r="AM25" s="599">
        <v>135</v>
      </c>
      <c r="AN25" s="599">
        <v>120000</v>
      </c>
      <c r="AO25" s="448">
        <v>45659</v>
      </c>
      <c r="AP25" s="448">
        <v>46021</v>
      </c>
      <c r="AQ25" s="28" t="s">
        <v>521</v>
      </c>
    </row>
    <row r="26" spans="1:43" ht="76.5" hidden="1">
      <c r="A26" s="23">
        <v>1</v>
      </c>
      <c r="B26" s="133" t="s">
        <v>513</v>
      </c>
      <c r="C26" s="28">
        <v>33</v>
      </c>
      <c r="D26" s="28" t="s">
        <v>514</v>
      </c>
      <c r="E26" s="23">
        <v>3301</v>
      </c>
      <c r="F26" s="133" t="s">
        <v>542</v>
      </c>
      <c r="G26" s="23">
        <v>3301087</v>
      </c>
      <c r="H26" s="133" t="s">
        <v>564</v>
      </c>
      <c r="I26" s="23">
        <v>330108701</v>
      </c>
      <c r="J26" s="133" t="s">
        <v>565</v>
      </c>
      <c r="K26" s="265">
        <v>1000</v>
      </c>
      <c r="L26" s="755"/>
      <c r="M26" s="766">
        <f>+K26+L26</f>
        <v>1000</v>
      </c>
      <c r="N26" s="23">
        <v>2024003630050</v>
      </c>
      <c r="O26" s="755" t="s">
        <v>570</v>
      </c>
      <c r="P26" s="767" t="s">
        <v>573</v>
      </c>
      <c r="Q26" s="269">
        <v>8000000</v>
      </c>
      <c r="R26" s="271"/>
      <c r="S26" s="271"/>
      <c r="T26" s="271"/>
      <c r="U26" s="262">
        <f>+Q26-R26+S26-T26</f>
        <v>8000000</v>
      </c>
      <c r="V26" s="765" t="s">
        <v>574</v>
      </c>
      <c r="W26" s="756">
        <v>20</v>
      </c>
      <c r="X26" s="265" t="s">
        <v>67</v>
      </c>
      <c r="Y26" s="599">
        <v>62400</v>
      </c>
      <c r="Z26" s="599">
        <v>57600</v>
      </c>
      <c r="AA26" s="599">
        <v>44400</v>
      </c>
      <c r="AB26" s="599">
        <v>20450</v>
      </c>
      <c r="AC26" s="599">
        <v>38450</v>
      </c>
      <c r="AD26" s="599">
        <v>16800</v>
      </c>
      <c r="AE26" s="599">
        <v>200</v>
      </c>
      <c r="AF26" s="599">
        <v>300</v>
      </c>
      <c r="AG26" s="599">
        <v>0</v>
      </c>
      <c r="AH26" s="599">
        <v>0</v>
      </c>
      <c r="AI26" s="599">
        <v>0</v>
      </c>
      <c r="AJ26" s="599">
        <v>0</v>
      </c>
      <c r="AK26" s="599">
        <v>5</v>
      </c>
      <c r="AL26" s="599">
        <v>1250</v>
      </c>
      <c r="AM26" s="599">
        <v>135</v>
      </c>
      <c r="AN26" s="599">
        <v>120000</v>
      </c>
      <c r="AO26" s="448">
        <v>45659</v>
      </c>
      <c r="AP26" s="448">
        <v>46021</v>
      </c>
      <c r="AQ26" s="28" t="s">
        <v>521</v>
      </c>
    </row>
    <row r="27" spans="1:43" ht="76.5" hidden="1">
      <c r="A27" s="23">
        <v>1</v>
      </c>
      <c r="B27" s="133" t="s">
        <v>513</v>
      </c>
      <c r="C27" s="28">
        <v>33</v>
      </c>
      <c r="D27" s="28" t="s">
        <v>514</v>
      </c>
      <c r="E27" s="23">
        <v>3301</v>
      </c>
      <c r="F27" s="133" t="s">
        <v>542</v>
      </c>
      <c r="G27" s="23">
        <v>3301085</v>
      </c>
      <c r="H27" s="133" t="s">
        <v>575</v>
      </c>
      <c r="I27" s="23">
        <v>330108500</v>
      </c>
      <c r="J27" s="133" t="s">
        <v>576</v>
      </c>
      <c r="K27" s="265">
        <v>120000</v>
      </c>
      <c r="L27" s="265"/>
      <c r="M27" s="265">
        <f t="shared" si="1"/>
        <v>120000</v>
      </c>
      <c r="N27" s="23">
        <v>2024003630050</v>
      </c>
      <c r="O27" s="755" t="s">
        <v>570</v>
      </c>
      <c r="P27" s="145" t="s">
        <v>577</v>
      </c>
      <c r="Q27" s="264">
        <v>250000000</v>
      </c>
      <c r="R27" s="768">
        <f>7000000+6000000+8800000+7000000+7000000+3500000+7000000+7000000+7000000+7000000+7000000+7000000+1200000+7800000+7000000+10500000+7000000</f>
        <v>114800000</v>
      </c>
      <c r="S27" s="768">
        <v>8800000</v>
      </c>
      <c r="T27" s="768"/>
      <c r="U27" s="944">
        <f>+Q27-R27+S27-T27</f>
        <v>144000000</v>
      </c>
      <c r="V27" s="769" t="s">
        <v>578</v>
      </c>
      <c r="W27" s="770">
        <v>20</v>
      </c>
      <c r="X27" s="460" t="s">
        <v>67</v>
      </c>
      <c r="Y27" s="599">
        <v>62400</v>
      </c>
      <c r="Z27" s="599">
        <v>57600</v>
      </c>
      <c r="AA27" s="599">
        <v>44400</v>
      </c>
      <c r="AB27" s="599">
        <v>20450</v>
      </c>
      <c r="AC27" s="599">
        <v>38450</v>
      </c>
      <c r="AD27" s="599">
        <v>16800</v>
      </c>
      <c r="AE27" s="599">
        <v>200</v>
      </c>
      <c r="AF27" s="599">
        <v>300</v>
      </c>
      <c r="AG27" s="599">
        <v>0</v>
      </c>
      <c r="AH27" s="599">
        <v>0</v>
      </c>
      <c r="AI27" s="599">
        <v>0</v>
      </c>
      <c r="AJ27" s="599">
        <v>0</v>
      </c>
      <c r="AK27" s="599">
        <v>5</v>
      </c>
      <c r="AL27" s="599">
        <v>1250</v>
      </c>
      <c r="AM27" s="599">
        <v>135</v>
      </c>
      <c r="AN27" s="599">
        <v>120000</v>
      </c>
      <c r="AO27" s="448">
        <v>45659</v>
      </c>
      <c r="AP27" s="448">
        <v>46021</v>
      </c>
      <c r="AQ27" s="28" t="s">
        <v>521</v>
      </c>
    </row>
    <row r="28" spans="1:43" ht="76.5" hidden="1">
      <c r="A28" s="23">
        <v>1</v>
      </c>
      <c r="B28" s="133" t="s">
        <v>513</v>
      </c>
      <c r="C28" s="28">
        <v>33</v>
      </c>
      <c r="D28" s="28" t="s">
        <v>514</v>
      </c>
      <c r="E28" s="23">
        <v>3301</v>
      </c>
      <c r="F28" s="133" t="s">
        <v>542</v>
      </c>
      <c r="G28" s="23">
        <v>3301085</v>
      </c>
      <c r="H28" s="133" t="s">
        <v>575</v>
      </c>
      <c r="I28" s="23">
        <v>330108500</v>
      </c>
      <c r="J28" s="133" t="s">
        <v>576</v>
      </c>
      <c r="K28" s="265">
        <v>120000</v>
      </c>
      <c r="L28" s="265"/>
      <c r="M28" s="265">
        <f t="shared" si="1"/>
        <v>120000</v>
      </c>
      <c r="N28" s="23">
        <v>2024003630050</v>
      </c>
      <c r="O28" s="755" t="s">
        <v>570</v>
      </c>
      <c r="P28" s="771" t="s">
        <v>579</v>
      </c>
      <c r="Q28" s="264">
        <v>184547064.06</v>
      </c>
      <c r="R28" s="763">
        <f>22000000+7000000+7000000+22000000+11200000+7000000+7000000+7000000+7000000+7000000+7000000+7000000</f>
        <v>118200000</v>
      </c>
      <c r="S28" s="763"/>
      <c r="T28" s="763"/>
      <c r="U28" s="944">
        <f>+Q28-R28+S28-T28</f>
        <v>66347064.060000002</v>
      </c>
      <c r="V28" s="769" t="s">
        <v>580</v>
      </c>
      <c r="W28" s="772">
        <v>34</v>
      </c>
      <c r="X28" s="773" t="s">
        <v>581</v>
      </c>
      <c r="Y28" s="774">
        <v>62400</v>
      </c>
      <c r="Z28" s="599">
        <v>57600</v>
      </c>
      <c r="AA28" s="599">
        <v>44400</v>
      </c>
      <c r="AB28" s="599">
        <v>20450</v>
      </c>
      <c r="AC28" s="599">
        <v>38450</v>
      </c>
      <c r="AD28" s="599">
        <v>16800</v>
      </c>
      <c r="AE28" s="599">
        <v>200</v>
      </c>
      <c r="AF28" s="599">
        <v>300</v>
      </c>
      <c r="AG28" s="599">
        <v>0</v>
      </c>
      <c r="AH28" s="599">
        <v>0</v>
      </c>
      <c r="AI28" s="599">
        <v>0</v>
      </c>
      <c r="AJ28" s="599">
        <v>0</v>
      </c>
      <c r="AK28" s="599">
        <v>5</v>
      </c>
      <c r="AL28" s="599">
        <v>1250</v>
      </c>
      <c r="AM28" s="599">
        <v>135</v>
      </c>
      <c r="AN28" s="599">
        <v>120000</v>
      </c>
      <c r="AO28" s="448">
        <v>45659</v>
      </c>
      <c r="AP28" s="448">
        <v>46021</v>
      </c>
      <c r="AQ28" s="28" t="s">
        <v>521</v>
      </c>
    </row>
    <row r="29" spans="1:43" ht="78.75" hidden="1" customHeight="1">
      <c r="A29" s="23">
        <v>1</v>
      </c>
      <c r="B29" s="133" t="s">
        <v>513</v>
      </c>
      <c r="C29" s="28">
        <v>33</v>
      </c>
      <c r="D29" s="28" t="s">
        <v>514</v>
      </c>
      <c r="E29" s="23">
        <v>3301</v>
      </c>
      <c r="F29" s="133" t="s">
        <v>542</v>
      </c>
      <c r="G29" s="23">
        <v>3301127</v>
      </c>
      <c r="H29" s="133" t="s">
        <v>582</v>
      </c>
      <c r="I29" s="23">
        <v>330112700</v>
      </c>
      <c r="J29" s="133" t="s">
        <v>583</v>
      </c>
      <c r="K29" s="265">
        <v>3</v>
      </c>
      <c r="L29" s="265"/>
      <c r="M29" s="265">
        <f t="shared" si="1"/>
        <v>3</v>
      </c>
      <c r="N29" s="23">
        <v>2024003630050</v>
      </c>
      <c r="O29" s="755" t="s">
        <v>570</v>
      </c>
      <c r="P29" s="145" t="s">
        <v>584</v>
      </c>
      <c r="Q29" s="264">
        <v>60000000</v>
      </c>
      <c r="R29" s="261"/>
      <c r="S29" s="261"/>
      <c r="T29" s="261"/>
      <c r="U29" s="262">
        <f>+Q29-R29+S29-T29</f>
        <v>60000000</v>
      </c>
      <c r="V29" s="769" t="s">
        <v>585</v>
      </c>
      <c r="W29" s="756">
        <v>34</v>
      </c>
      <c r="X29" s="115" t="s">
        <v>581</v>
      </c>
      <c r="Y29" s="599">
        <v>62400</v>
      </c>
      <c r="Z29" s="599">
        <v>57600</v>
      </c>
      <c r="AA29" s="599">
        <v>44400</v>
      </c>
      <c r="AB29" s="599">
        <v>20450</v>
      </c>
      <c r="AC29" s="599">
        <v>38450</v>
      </c>
      <c r="AD29" s="599">
        <v>16800</v>
      </c>
      <c r="AE29" s="599">
        <v>200</v>
      </c>
      <c r="AF29" s="599">
        <v>300</v>
      </c>
      <c r="AG29" s="599">
        <v>0</v>
      </c>
      <c r="AH29" s="599">
        <v>0</v>
      </c>
      <c r="AI29" s="599">
        <v>0</v>
      </c>
      <c r="AJ29" s="599">
        <v>0</v>
      </c>
      <c r="AK29" s="599">
        <v>5</v>
      </c>
      <c r="AL29" s="599">
        <v>1250</v>
      </c>
      <c r="AM29" s="599">
        <v>135</v>
      </c>
      <c r="AN29" s="599">
        <v>120000</v>
      </c>
      <c r="AO29" s="448">
        <v>45659</v>
      </c>
      <c r="AP29" s="448">
        <v>46021</v>
      </c>
      <c r="AQ29" s="28" t="s">
        <v>521</v>
      </c>
    </row>
    <row r="30" spans="1:43" ht="82.5" hidden="1" customHeight="1">
      <c r="A30" s="23">
        <v>1</v>
      </c>
      <c r="B30" s="133" t="s">
        <v>513</v>
      </c>
      <c r="C30" s="28">
        <v>33</v>
      </c>
      <c r="D30" s="28" t="s">
        <v>514</v>
      </c>
      <c r="E30" s="23">
        <v>3301</v>
      </c>
      <c r="F30" s="133" t="s">
        <v>542</v>
      </c>
      <c r="G30" s="23">
        <v>3301127</v>
      </c>
      <c r="H30" s="133" t="s">
        <v>582</v>
      </c>
      <c r="I30" s="23">
        <v>330112700</v>
      </c>
      <c r="J30" s="133" t="s">
        <v>583</v>
      </c>
      <c r="K30" s="265">
        <v>3</v>
      </c>
      <c r="L30" s="265"/>
      <c r="M30" s="265">
        <f t="shared" si="1"/>
        <v>3</v>
      </c>
      <c r="N30" s="23">
        <v>2024003630050</v>
      </c>
      <c r="O30" s="755" t="s">
        <v>570</v>
      </c>
      <c r="P30" s="145" t="s">
        <v>586</v>
      </c>
      <c r="Q30" s="264">
        <v>40000000</v>
      </c>
      <c r="R30" s="261"/>
      <c r="S30" s="261"/>
      <c r="T30" s="261"/>
      <c r="U30" s="262">
        <f>+Q30-R30+S30-T30</f>
        <v>40000000</v>
      </c>
      <c r="V30" s="769" t="s">
        <v>587</v>
      </c>
      <c r="W30" s="756">
        <v>34</v>
      </c>
      <c r="X30" s="115" t="s">
        <v>581</v>
      </c>
      <c r="Y30" s="599">
        <v>62400</v>
      </c>
      <c r="Z30" s="599">
        <v>57600</v>
      </c>
      <c r="AA30" s="599">
        <v>44400</v>
      </c>
      <c r="AB30" s="599">
        <v>20450</v>
      </c>
      <c r="AC30" s="599">
        <v>38450</v>
      </c>
      <c r="AD30" s="599">
        <v>16800</v>
      </c>
      <c r="AE30" s="599">
        <v>200</v>
      </c>
      <c r="AF30" s="599">
        <v>300</v>
      </c>
      <c r="AG30" s="599">
        <v>0</v>
      </c>
      <c r="AH30" s="599">
        <v>0</v>
      </c>
      <c r="AI30" s="599">
        <v>0</v>
      </c>
      <c r="AJ30" s="599">
        <v>0</v>
      </c>
      <c r="AK30" s="599">
        <v>5</v>
      </c>
      <c r="AL30" s="599">
        <v>1250</v>
      </c>
      <c r="AM30" s="599">
        <v>135</v>
      </c>
      <c r="AN30" s="599">
        <v>120000</v>
      </c>
      <c r="AO30" s="448">
        <v>45659</v>
      </c>
      <c r="AP30" s="448">
        <v>46021</v>
      </c>
      <c r="AQ30" s="28" t="s">
        <v>521</v>
      </c>
    </row>
    <row r="31" spans="1:43" ht="76.5" hidden="1">
      <c r="A31" s="23">
        <v>1</v>
      </c>
      <c r="B31" s="133" t="s">
        <v>513</v>
      </c>
      <c r="C31" s="28">
        <v>33</v>
      </c>
      <c r="D31" s="28" t="s">
        <v>514</v>
      </c>
      <c r="E31" s="23">
        <v>3301</v>
      </c>
      <c r="F31" s="133" t="s">
        <v>542</v>
      </c>
      <c r="G31" s="23">
        <v>3301100</v>
      </c>
      <c r="H31" s="133" t="s">
        <v>588</v>
      </c>
      <c r="I31" s="23">
        <v>330110000</v>
      </c>
      <c r="J31" s="133" t="s">
        <v>589</v>
      </c>
      <c r="K31" s="265">
        <v>10</v>
      </c>
      <c r="L31" s="265"/>
      <c r="M31" s="265">
        <f t="shared" si="1"/>
        <v>10</v>
      </c>
      <c r="N31" s="23">
        <v>2024003630050</v>
      </c>
      <c r="O31" s="755" t="s">
        <v>570</v>
      </c>
      <c r="P31" s="145" t="s">
        <v>590</v>
      </c>
      <c r="Q31" s="269">
        <v>30000000</v>
      </c>
      <c r="R31" s="271"/>
      <c r="S31" s="271"/>
      <c r="T31" s="271"/>
      <c r="U31" s="262">
        <f>+Q31-R31+S31-T31</f>
        <v>30000000</v>
      </c>
      <c r="V31" s="769" t="s">
        <v>591</v>
      </c>
      <c r="W31" s="756">
        <v>20</v>
      </c>
      <c r="X31" s="265" t="s">
        <v>67</v>
      </c>
      <c r="Y31" s="599">
        <v>62400</v>
      </c>
      <c r="Z31" s="599">
        <v>57600</v>
      </c>
      <c r="AA31" s="599">
        <v>44400</v>
      </c>
      <c r="AB31" s="599">
        <v>20450</v>
      </c>
      <c r="AC31" s="599">
        <v>38450</v>
      </c>
      <c r="AD31" s="599">
        <v>16800</v>
      </c>
      <c r="AE31" s="599">
        <v>200</v>
      </c>
      <c r="AF31" s="599">
        <v>300</v>
      </c>
      <c r="AG31" s="599">
        <v>0</v>
      </c>
      <c r="AH31" s="599">
        <v>0</v>
      </c>
      <c r="AI31" s="599">
        <v>0</v>
      </c>
      <c r="AJ31" s="599">
        <v>0</v>
      </c>
      <c r="AK31" s="599">
        <v>5</v>
      </c>
      <c r="AL31" s="599">
        <v>1250</v>
      </c>
      <c r="AM31" s="599">
        <v>135</v>
      </c>
      <c r="AN31" s="599">
        <v>120000</v>
      </c>
      <c r="AO31" s="448">
        <v>45659</v>
      </c>
      <c r="AP31" s="448">
        <v>46021</v>
      </c>
      <c r="AQ31" s="28" t="s">
        <v>521</v>
      </c>
    </row>
    <row r="32" spans="1:43" ht="76.5" hidden="1">
      <c r="A32" s="23">
        <v>1</v>
      </c>
      <c r="B32" s="133" t="s">
        <v>513</v>
      </c>
      <c r="C32" s="28">
        <v>33</v>
      </c>
      <c r="D32" s="28" t="s">
        <v>514</v>
      </c>
      <c r="E32" s="23">
        <v>3301</v>
      </c>
      <c r="F32" s="133" t="s">
        <v>542</v>
      </c>
      <c r="G32" s="23">
        <v>3301100</v>
      </c>
      <c r="H32" s="133" t="s">
        <v>588</v>
      </c>
      <c r="I32" s="23">
        <v>330110000</v>
      </c>
      <c r="J32" s="133" t="s">
        <v>589</v>
      </c>
      <c r="K32" s="265">
        <v>10</v>
      </c>
      <c r="L32" s="265"/>
      <c r="M32" s="265">
        <f t="shared" si="1"/>
        <v>10</v>
      </c>
      <c r="N32" s="23">
        <v>2024003630050</v>
      </c>
      <c r="O32" s="755" t="s">
        <v>570</v>
      </c>
      <c r="P32" s="145" t="s">
        <v>592</v>
      </c>
      <c r="Q32" s="269">
        <v>10000000</v>
      </c>
      <c r="R32" s="271"/>
      <c r="S32" s="271"/>
      <c r="T32" s="271"/>
      <c r="U32" s="262">
        <f>+Q32-R32+S32-T32</f>
        <v>10000000</v>
      </c>
      <c r="V32" s="769" t="s">
        <v>593</v>
      </c>
      <c r="W32" s="756">
        <v>20</v>
      </c>
      <c r="X32" s="265" t="s">
        <v>67</v>
      </c>
      <c r="Y32" s="599">
        <v>62400</v>
      </c>
      <c r="Z32" s="599">
        <v>57600</v>
      </c>
      <c r="AA32" s="599">
        <v>44400</v>
      </c>
      <c r="AB32" s="599">
        <v>20450</v>
      </c>
      <c r="AC32" s="599">
        <v>38450</v>
      </c>
      <c r="AD32" s="599">
        <v>16800</v>
      </c>
      <c r="AE32" s="599">
        <v>200</v>
      </c>
      <c r="AF32" s="599">
        <v>300</v>
      </c>
      <c r="AG32" s="599">
        <v>0</v>
      </c>
      <c r="AH32" s="599">
        <v>0</v>
      </c>
      <c r="AI32" s="599">
        <v>0</v>
      </c>
      <c r="AJ32" s="599">
        <v>0</v>
      </c>
      <c r="AK32" s="599">
        <v>5</v>
      </c>
      <c r="AL32" s="599">
        <v>1250</v>
      </c>
      <c r="AM32" s="599">
        <v>135</v>
      </c>
      <c r="AN32" s="599">
        <v>120000</v>
      </c>
      <c r="AO32" s="448">
        <v>45659</v>
      </c>
      <c r="AP32" s="448">
        <v>46021</v>
      </c>
      <c r="AQ32" s="28" t="s">
        <v>521</v>
      </c>
    </row>
    <row r="33" spans="1:43" ht="76.5" hidden="1">
      <c r="A33" s="23">
        <v>1</v>
      </c>
      <c r="B33" s="133" t="s">
        <v>513</v>
      </c>
      <c r="C33" s="28">
        <v>33</v>
      </c>
      <c r="D33" s="28" t="s">
        <v>514</v>
      </c>
      <c r="E33" s="23">
        <v>3301</v>
      </c>
      <c r="F33" s="133" t="s">
        <v>542</v>
      </c>
      <c r="G33" s="23">
        <v>3301100</v>
      </c>
      <c r="H33" s="133" t="s">
        <v>588</v>
      </c>
      <c r="I33" s="23">
        <v>330110000</v>
      </c>
      <c r="J33" s="133" t="s">
        <v>589</v>
      </c>
      <c r="K33" s="265">
        <v>10</v>
      </c>
      <c r="L33" s="265"/>
      <c r="M33" s="265">
        <f t="shared" si="1"/>
        <v>10</v>
      </c>
      <c r="N33" s="23">
        <v>2024003630050</v>
      </c>
      <c r="O33" s="755" t="s">
        <v>570</v>
      </c>
      <c r="P33" s="145" t="s">
        <v>594</v>
      </c>
      <c r="Q33" s="269">
        <v>10000000</v>
      </c>
      <c r="R33" s="271"/>
      <c r="S33" s="271"/>
      <c r="T33" s="271"/>
      <c r="U33" s="262">
        <f>+Q33-R33+S33-T33</f>
        <v>10000000</v>
      </c>
      <c r="V33" s="769" t="s">
        <v>595</v>
      </c>
      <c r="W33" s="756">
        <v>34</v>
      </c>
      <c r="X33" s="115" t="s">
        <v>581</v>
      </c>
      <c r="Y33" s="599">
        <v>62400</v>
      </c>
      <c r="Z33" s="599">
        <v>57600</v>
      </c>
      <c r="AA33" s="599">
        <v>44400</v>
      </c>
      <c r="AB33" s="599">
        <v>20450</v>
      </c>
      <c r="AC33" s="599">
        <v>38450</v>
      </c>
      <c r="AD33" s="599">
        <v>16800</v>
      </c>
      <c r="AE33" s="599">
        <v>200</v>
      </c>
      <c r="AF33" s="599">
        <v>300</v>
      </c>
      <c r="AG33" s="599">
        <v>0</v>
      </c>
      <c r="AH33" s="599">
        <v>0</v>
      </c>
      <c r="AI33" s="599">
        <v>0</v>
      </c>
      <c r="AJ33" s="599">
        <v>0</v>
      </c>
      <c r="AK33" s="599">
        <v>5</v>
      </c>
      <c r="AL33" s="599">
        <v>1250</v>
      </c>
      <c r="AM33" s="599">
        <v>135</v>
      </c>
      <c r="AN33" s="599">
        <v>120000</v>
      </c>
      <c r="AO33" s="448">
        <v>45659</v>
      </c>
      <c r="AP33" s="448">
        <v>46021</v>
      </c>
      <c r="AQ33" s="28" t="s">
        <v>521</v>
      </c>
    </row>
    <row r="34" spans="1:43" ht="76.5" hidden="1">
      <c r="A34" s="23">
        <v>1</v>
      </c>
      <c r="B34" s="133" t="s">
        <v>513</v>
      </c>
      <c r="C34" s="28">
        <v>33</v>
      </c>
      <c r="D34" s="28" t="s">
        <v>514</v>
      </c>
      <c r="E34" s="23">
        <v>3301</v>
      </c>
      <c r="F34" s="133" t="s">
        <v>542</v>
      </c>
      <c r="G34" s="23">
        <v>3301100</v>
      </c>
      <c r="H34" s="133" t="s">
        <v>588</v>
      </c>
      <c r="I34" s="23">
        <v>330110000</v>
      </c>
      <c r="J34" s="133" t="s">
        <v>589</v>
      </c>
      <c r="K34" s="265">
        <v>10</v>
      </c>
      <c r="L34" s="265"/>
      <c r="M34" s="265">
        <f t="shared" si="1"/>
        <v>10</v>
      </c>
      <c r="N34" s="23">
        <v>2024003630050</v>
      </c>
      <c r="O34" s="755" t="s">
        <v>570</v>
      </c>
      <c r="P34" s="145" t="s">
        <v>596</v>
      </c>
      <c r="Q34" s="269">
        <v>110000000</v>
      </c>
      <c r="R34" s="271"/>
      <c r="S34" s="271"/>
      <c r="T34" s="271"/>
      <c r="U34" s="262">
        <f>+Q34-R34+S34-T34</f>
        <v>110000000</v>
      </c>
      <c r="V34" s="769" t="s">
        <v>597</v>
      </c>
      <c r="W34" s="756">
        <v>34</v>
      </c>
      <c r="X34" s="115" t="s">
        <v>581</v>
      </c>
      <c r="Y34" s="599">
        <v>62400</v>
      </c>
      <c r="Z34" s="599">
        <v>57600</v>
      </c>
      <c r="AA34" s="599">
        <v>44400</v>
      </c>
      <c r="AB34" s="599">
        <v>20450</v>
      </c>
      <c r="AC34" s="599">
        <v>38450</v>
      </c>
      <c r="AD34" s="599">
        <v>16800</v>
      </c>
      <c r="AE34" s="599">
        <v>200</v>
      </c>
      <c r="AF34" s="599">
        <v>300</v>
      </c>
      <c r="AG34" s="599">
        <v>0</v>
      </c>
      <c r="AH34" s="599">
        <v>0</v>
      </c>
      <c r="AI34" s="599">
        <v>0</v>
      </c>
      <c r="AJ34" s="599">
        <v>0</v>
      </c>
      <c r="AK34" s="599">
        <v>5</v>
      </c>
      <c r="AL34" s="599">
        <v>1250</v>
      </c>
      <c r="AM34" s="599">
        <v>135</v>
      </c>
      <c r="AN34" s="599">
        <v>120000</v>
      </c>
      <c r="AO34" s="448">
        <v>45659</v>
      </c>
      <c r="AP34" s="448">
        <v>46021</v>
      </c>
      <c r="AQ34" s="28" t="s">
        <v>521</v>
      </c>
    </row>
    <row r="35" spans="1:43" ht="76.5">
      <c r="A35" s="23">
        <v>1</v>
      </c>
      <c r="B35" s="133" t="s">
        <v>513</v>
      </c>
      <c r="C35" s="28">
        <v>33</v>
      </c>
      <c r="D35" s="28" t="s">
        <v>514</v>
      </c>
      <c r="E35" s="23">
        <v>3301</v>
      </c>
      <c r="F35" s="133" t="s">
        <v>542</v>
      </c>
      <c r="G35" s="23">
        <v>3301073</v>
      </c>
      <c r="H35" s="133" t="s">
        <v>598</v>
      </c>
      <c r="I35" s="23">
        <v>330107300</v>
      </c>
      <c r="J35" s="133" t="s">
        <v>599</v>
      </c>
      <c r="K35" s="265">
        <v>575</v>
      </c>
      <c r="L35" s="265"/>
      <c r="M35" s="265">
        <f t="shared" si="1"/>
        <v>575</v>
      </c>
      <c r="N35" s="23">
        <v>2024003630051</v>
      </c>
      <c r="O35" s="755" t="s">
        <v>600</v>
      </c>
      <c r="P35" s="145" t="s">
        <v>601</v>
      </c>
      <c r="Q35" s="269">
        <v>393000000</v>
      </c>
      <c r="R35" s="261">
        <f>5600000+9000000+7000000+12800000+10000000+10000000+6600000+12000000+12000000+11600000+10800000+4400000+7200000+7000000+4200000+10500000</f>
        <v>140700000</v>
      </c>
      <c r="S35" s="950"/>
      <c r="T35" s="261"/>
      <c r="U35" s="262">
        <f>+Q35-R35+S35-T35</f>
        <v>252300000</v>
      </c>
      <c r="V35" s="268" t="s">
        <v>602</v>
      </c>
      <c r="W35" s="756">
        <v>20</v>
      </c>
      <c r="X35" s="265" t="s">
        <v>67</v>
      </c>
      <c r="Y35" s="599">
        <v>6006</v>
      </c>
      <c r="Z35" s="599">
        <v>5326</v>
      </c>
      <c r="AA35" s="599">
        <v>4050</v>
      </c>
      <c r="AB35" s="599">
        <v>916</v>
      </c>
      <c r="AC35" s="599">
        <v>6350</v>
      </c>
      <c r="AD35" s="599">
        <v>15</v>
      </c>
      <c r="AE35" s="599">
        <v>0</v>
      </c>
      <c r="AF35" s="599">
        <v>0</v>
      </c>
      <c r="AG35" s="599">
        <v>0</v>
      </c>
      <c r="AH35" s="599">
        <v>0</v>
      </c>
      <c r="AI35" s="599">
        <v>0</v>
      </c>
      <c r="AJ35" s="599">
        <v>0</v>
      </c>
      <c r="AK35" s="599">
        <v>0</v>
      </c>
      <c r="AL35" s="599">
        <v>0</v>
      </c>
      <c r="AM35" s="599">
        <v>0</v>
      </c>
      <c r="AN35" s="599">
        <v>11331</v>
      </c>
      <c r="AO35" s="448">
        <v>45659</v>
      </c>
      <c r="AP35" s="448">
        <v>46021</v>
      </c>
      <c r="AQ35" s="28" t="s">
        <v>521</v>
      </c>
    </row>
    <row r="36" spans="1:43" ht="76.5" hidden="1">
      <c r="A36" s="23">
        <v>1</v>
      </c>
      <c r="B36" s="133" t="s">
        <v>513</v>
      </c>
      <c r="C36" s="28">
        <v>33</v>
      </c>
      <c r="D36" s="28" t="s">
        <v>514</v>
      </c>
      <c r="E36" s="23">
        <v>3301</v>
      </c>
      <c r="F36" s="133" t="s">
        <v>542</v>
      </c>
      <c r="G36" s="23">
        <v>3301073</v>
      </c>
      <c r="H36" s="133" t="s">
        <v>598</v>
      </c>
      <c r="I36" s="23">
        <v>330107300</v>
      </c>
      <c r="J36" s="133" t="s">
        <v>599</v>
      </c>
      <c r="K36" s="265">
        <v>575</v>
      </c>
      <c r="L36" s="265"/>
      <c r="M36" s="265">
        <f t="shared" si="1"/>
        <v>575</v>
      </c>
      <c r="N36" s="23">
        <v>2024003630051</v>
      </c>
      <c r="O36" s="755" t="s">
        <v>600</v>
      </c>
      <c r="P36" s="145" t="s">
        <v>603</v>
      </c>
      <c r="Q36" s="269">
        <v>7000000</v>
      </c>
      <c r="R36" s="261"/>
      <c r="S36" s="261"/>
      <c r="T36" s="261"/>
      <c r="U36" s="262">
        <f>+Q36-R36+S36-T36</f>
        <v>7000000</v>
      </c>
      <c r="V36" s="268" t="s">
        <v>604</v>
      </c>
      <c r="W36" s="756">
        <v>20</v>
      </c>
      <c r="X36" s="265" t="s">
        <v>67</v>
      </c>
      <c r="Y36" s="599">
        <v>6006</v>
      </c>
      <c r="Z36" s="599">
        <v>5326</v>
      </c>
      <c r="AA36" s="599">
        <v>4050</v>
      </c>
      <c r="AB36" s="599">
        <v>916</v>
      </c>
      <c r="AC36" s="599">
        <v>6350</v>
      </c>
      <c r="AD36" s="599">
        <v>15</v>
      </c>
      <c r="AE36" s="599">
        <v>0</v>
      </c>
      <c r="AF36" s="599">
        <v>0</v>
      </c>
      <c r="AG36" s="599">
        <v>0</v>
      </c>
      <c r="AH36" s="599">
        <v>0</v>
      </c>
      <c r="AI36" s="599">
        <v>0</v>
      </c>
      <c r="AJ36" s="599">
        <v>0</v>
      </c>
      <c r="AK36" s="599">
        <v>0</v>
      </c>
      <c r="AL36" s="599">
        <v>0</v>
      </c>
      <c r="AM36" s="599">
        <v>0</v>
      </c>
      <c r="AN36" s="599">
        <v>11331</v>
      </c>
      <c r="AO36" s="448">
        <v>45659</v>
      </c>
      <c r="AP36" s="448">
        <v>46021</v>
      </c>
      <c r="AQ36" s="28" t="s">
        <v>521</v>
      </c>
    </row>
    <row r="37" spans="1:43" ht="88.5" hidden="1" customHeight="1">
      <c r="A37" s="23">
        <v>1</v>
      </c>
      <c r="B37" s="133" t="s">
        <v>513</v>
      </c>
      <c r="C37" s="28">
        <v>33</v>
      </c>
      <c r="D37" s="28" t="s">
        <v>514</v>
      </c>
      <c r="E37" s="23">
        <v>3301</v>
      </c>
      <c r="F37" s="133" t="s">
        <v>542</v>
      </c>
      <c r="G37" s="23">
        <v>3301073</v>
      </c>
      <c r="H37" s="133" t="s">
        <v>598</v>
      </c>
      <c r="I37" s="23">
        <v>330107300</v>
      </c>
      <c r="J37" s="133" t="s">
        <v>599</v>
      </c>
      <c r="K37" s="265">
        <v>575</v>
      </c>
      <c r="L37" s="265"/>
      <c r="M37" s="265">
        <f t="shared" si="1"/>
        <v>575</v>
      </c>
      <c r="N37" s="23">
        <v>2024003630051</v>
      </c>
      <c r="O37" s="755" t="s">
        <v>600</v>
      </c>
      <c r="P37" s="145" t="s">
        <v>605</v>
      </c>
      <c r="Q37" s="269">
        <v>360000000</v>
      </c>
      <c r="R37" s="262">
        <f>7000000+7600000+13200000+7800000+9000000+11600000+7000000+13200000+7000000+6000000+14000000+1000000+6000000+6800000+10000000+4000000+10000000+10000000+8000000</f>
        <v>159200000</v>
      </c>
      <c r="S37" s="261">
        <f>13200000+7600000</f>
        <v>20800000</v>
      </c>
      <c r="T37" s="261"/>
      <c r="U37" s="262">
        <f>+Q37-R37+S37-T37</f>
        <v>221600000</v>
      </c>
      <c r="V37" s="268" t="s">
        <v>602</v>
      </c>
      <c r="W37" s="756">
        <v>20</v>
      </c>
      <c r="X37" s="265" t="s">
        <v>67</v>
      </c>
      <c r="Y37" s="599">
        <v>6006</v>
      </c>
      <c r="Z37" s="599">
        <v>5326</v>
      </c>
      <c r="AA37" s="599">
        <v>4050</v>
      </c>
      <c r="AB37" s="599">
        <v>916</v>
      </c>
      <c r="AC37" s="599">
        <v>6350</v>
      </c>
      <c r="AD37" s="599">
        <v>15</v>
      </c>
      <c r="AE37" s="599">
        <v>0</v>
      </c>
      <c r="AF37" s="599">
        <v>0</v>
      </c>
      <c r="AG37" s="599">
        <v>0</v>
      </c>
      <c r="AH37" s="599">
        <v>0</v>
      </c>
      <c r="AI37" s="599">
        <v>0</v>
      </c>
      <c r="AJ37" s="599">
        <v>0</v>
      </c>
      <c r="AK37" s="599">
        <v>0</v>
      </c>
      <c r="AL37" s="599">
        <v>0</v>
      </c>
      <c r="AM37" s="599">
        <v>0</v>
      </c>
      <c r="AN37" s="599">
        <v>11331</v>
      </c>
      <c r="AO37" s="448">
        <v>45659</v>
      </c>
      <c r="AP37" s="448">
        <v>46021</v>
      </c>
      <c r="AQ37" s="28" t="s">
        <v>521</v>
      </c>
    </row>
    <row r="38" spans="1:43" ht="91.5" hidden="1">
      <c r="A38" s="23">
        <v>1</v>
      </c>
      <c r="B38" s="133" t="s">
        <v>513</v>
      </c>
      <c r="C38" s="28">
        <v>33</v>
      </c>
      <c r="D38" s="28" t="s">
        <v>514</v>
      </c>
      <c r="E38" s="23">
        <v>3301</v>
      </c>
      <c r="F38" s="133" t="s">
        <v>542</v>
      </c>
      <c r="G38" s="23">
        <v>3301073</v>
      </c>
      <c r="H38" s="133" t="s">
        <v>598</v>
      </c>
      <c r="I38" s="23">
        <v>330107300</v>
      </c>
      <c r="J38" s="133" t="s">
        <v>599</v>
      </c>
      <c r="K38" s="265">
        <v>575</v>
      </c>
      <c r="L38" s="265"/>
      <c r="M38" s="265">
        <f t="shared" si="1"/>
        <v>575</v>
      </c>
      <c r="N38" s="23">
        <v>2024003630051</v>
      </c>
      <c r="O38" s="755" t="s">
        <v>600</v>
      </c>
      <c r="P38" s="145" t="s">
        <v>606</v>
      </c>
      <c r="Q38" s="269">
        <v>20000000</v>
      </c>
      <c r="R38" s="261"/>
      <c r="S38" s="261"/>
      <c r="T38" s="261"/>
      <c r="U38" s="262">
        <f>+Q38-R38+S38-T38</f>
        <v>20000000</v>
      </c>
      <c r="V38" s="268" t="s">
        <v>604</v>
      </c>
      <c r="W38" s="756">
        <v>20</v>
      </c>
      <c r="X38" s="265" t="s">
        <v>67</v>
      </c>
      <c r="Y38" s="599">
        <v>6006</v>
      </c>
      <c r="Z38" s="599">
        <v>5326</v>
      </c>
      <c r="AA38" s="599">
        <v>4050</v>
      </c>
      <c r="AB38" s="599">
        <v>916</v>
      </c>
      <c r="AC38" s="599">
        <v>6350</v>
      </c>
      <c r="AD38" s="599">
        <v>15</v>
      </c>
      <c r="AE38" s="599">
        <v>0</v>
      </c>
      <c r="AF38" s="599">
        <v>0</v>
      </c>
      <c r="AG38" s="599">
        <v>0</v>
      </c>
      <c r="AH38" s="599">
        <v>0</v>
      </c>
      <c r="AI38" s="599">
        <v>0</v>
      </c>
      <c r="AJ38" s="599">
        <v>0</v>
      </c>
      <c r="AK38" s="599">
        <v>0</v>
      </c>
      <c r="AL38" s="599">
        <v>0</v>
      </c>
      <c r="AM38" s="599">
        <v>0</v>
      </c>
      <c r="AN38" s="599">
        <v>11331</v>
      </c>
      <c r="AO38" s="448">
        <v>45659</v>
      </c>
      <c r="AP38" s="448">
        <v>46021</v>
      </c>
      <c r="AQ38" s="28" t="s">
        <v>521</v>
      </c>
    </row>
    <row r="39" spans="1:43" ht="119.45" hidden="1" customHeight="1">
      <c r="A39" s="23">
        <v>1</v>
      </c>
      <c r="B39" s="133" t="s">
        <v>513</v>
      </c>
      <c r="C39" s="28">
        <v>33</v>
      </c>
      <c r="D39" s="28" t="s">
        <v>514</v>
      </c>
      <c r="E39" s="23">
        <v>3301</v>
      </c>
      <c r="F39" s="133" t="s">
        <v>542</v>
      </c>
      <c r="G39" s="23">
        <v>3301053</v>
      </c>
      <c r="H39" s="133" t="s">
        <v>607</v>
      </c>
      <c r="I39" s="23">
        <v>330105300</v>
      </c>
      <c r="J39" s="133" t="s">
        <v>608</v>
      </c>
      <c r="K39" s="265">
        <v>150</v>
      </c>
      <c r="L39" s="265"/>
      <c r="M39" s="265">
        <f>+K39</f>
        <v>150</v>
      </c>
      <c r="N39" s="23">
        <v>2024003630051</v>
      </c>
      <c r="O39" s="755" t="s">
        <v>600</v>
      </c>
      <c r="P39" s="145" t="s">
        <v>609</v>
      </c>
      <c r="Q39" s="775">
        <v>215000000</v>
      </c>
      <c r="R39" s="271">
        <f>3000000+9000000+10800000+5000000+4000000+19200000+8500000+7000000+7200000+5000000+7500000</f>
        <v>86200000</v>
      </c>
      <c r="S39" s="271"/>
      <c r="T39" s="271"/>
      <c r="U39" s="262">
        <f>+Q39-R39+S39-T39</f>
        <v>128800000</v>
      </c>
      <c r="V39" s="268" t="s">
        <v>610</v>
      </c>
      <c r="W39" s="756">
        <v>20</v>
      </c>
      <c r="X39" s="265" t="s">
        <v>67</v>
      </c>
      <c r="Y39" s="599">
        <v>6006</v>
      </c>
      <c r="Z39" s="599">
        <v>5326</v>
      </c>
      <c r="AA39" s="599">
        <v>4050</v>
      </c>
      <c r="AB39" s="599">
        <v>916</v>
      </c>
      <c r="AC39" s="599">
        <v>6350</v>
      </c>
      <c r="AD39" s="599">
        <v>15</v>
      </c>
      <c r="AE39" s="599">
        <v>0</v>
      </c>
      <c r="AF39" s="599">
        <v>0</v>
      </c>
      <c r="AG39" s="599">
        <v>0</v>
      </c>
      <c r="AH39" s="599">
        <v>0</v>
      </c>
      <c r="AI39" s="599">
        <v>0</v>
      </c>
      <c r="AJ39" s="599">
        <v>0</v>
      </c>
      <c r="AK39" s="599">
        <v>0</v>
      </c>
      <c r="AL39" s="599">
        <v>0</v>
      </c>
      <c r="AM39" s="599">
        <v>0</v>
      </c>
      <c r="AN39" s="599">
        <v>11331</v>
      </c>
      <c r="AO39" s="448">
        <v>45659</v>
      </c>
      <c r="AP39" s="448">
        <v>46021</v>
      </c>
      <c r="AQ39" s="28" t="s">
        <v>521</v>
      </c>
    </row>
    <row r="40" spans="1:43" ht="119.45" hidden="1" customHeight="1">
      <c r="A40" s="23">
        <v>1</v>
      </c>
      <c r="B40" s="133" t="s">
        <v>513</v>
      </c>
      <c r="C40" s="28">
        <v>33</v>
      </c>
      <c r="D40" s="28" t="s">
        <v>514</v>
      </c>
      <c r="E40" s="23">
        <v>3301</v>
      </c>
      <c r="F40" s="133" t="s">
        <v>542</v>
      </c>
      <c r="G40" s="23">
        <v>3301053</v>
      </c>
      <c r="H40" s="133" t="s">
        <v>607</v>
      </c>
      <c r="I40" s="23">
        <v>330105300</v>
      </c>
      <c r="J40" s="133" t="s">
        <v>608</v>
      </c>
      <c r="K40" s="265">
        <v>150</v>
      </c>
      <c r="L40" s="265"/>
      <c r="M40" s="265">
        <f>+K40</f>
        <v>150</v>
      </c>
      <c r="N40" s="23">
        <v>2024003630051</v>
      </c>
      <c r="O40" s="755" t="s">
        <v>600</v>
      </c>
      <c r="P40" s="145" t="s">
        <v>611</v>
      </c>
      <c r="Q40" s="775">
        <v>15000000</v>
      </c>
      <c r="R40" s="271"/>
      <c r="S40" s="271"/>
      <c r="T40" s="271"/>
      <c r="U40" s="262">
        <f>+Q40-R40+S40-T40</f>
        <v>15000000</v>
      </c>
      <c r="V40" s="268" t="s">
        <v>612</v>
      </c>
      <c r="W40" s="756">
        <v>20</v>
      </c>
      <c r="X40" s="265" t="s">
        <v>67</v>
      </c>
      <c r="Y40" s="599">
        <v>6006</v>
      </c>
      <c r="Z40" s="599">
        <v>5326</v>
      </c>
      <c r="AA40" s="599">
        <v>4050</v>
      </c>
      <c r="AB40" s="599">
        <v>916</v>
      </c>
      <c r="AC40" s="599">
        <v>6350</v>
      </c>
      <c r="AD40" s="599">
        <v>15</v>
      </c>
      <c r="AE40" s="599">
        <v>0</v>
      </c>
      <c r="AF40" s="599">
        <v>0</v>
      </c>
      <c r="AG40" s="599">
        <v>0</v>
      </c>
      <c r="AH40" s="599">
        <v>0</v>
      </c>
      <c r="AI40" s="599">
        <v>0</v>
      </c>
      <c r="AJ40" s="599">
        <v>0</v>
      </c>
      <c r="AK40" s="599">
        <v>0</v>
      </c>
      <c r="AL40" s="599">
        <v>0</v>
      </c>
      <c r="AM40" s="599">
        <v>0</v>
      </c>
      <c r="AN40" s="599">
        <v>11331</v>
      </c>
      <c r="AO40" s="448">
        <v>45659</v>
      </c>
      <c r="AP40" s="448">
        <v>46021</v>
      </c>
      <c r="AQ40" s="28" t="s">
        <v>521</v>
      </c>
    </row>
    <row r="41" spans="1:43" ht="81.599999999999994" hidden="1" customHeight="1">
      <c r="A41" s="23">
        <v>1</v>
      </c>
      <c r="B41" s="133" t="s">
        <v>513</v>
      </c>
      <c r="C41" s="28">
        <v>33</v>
      </c>
      <c r="D41" s="28" t="s">
        <v>514</v>
      </c>
      <c r="E41" s="23">
        <v>3301</v>
      </c>
      <c r="F41" s="133" t="s">
        <v>542</v>
      </c>
      <c r="G41" s="23">
        <v>3301053</v>
      </c>
      <c r="H41" s="133" t="s">
        <v>607</v>
      </c>
      <c r="I41" s="23">
        <v>330105300</v>
      </c>
      <c r="J41" s="133" t="s">
        <v>608</v>
      </c>
      <c r="K41" s="265">
        <v>150</v>
      </c>
      <c r="L41" s="265"/>
      <c r="M41" s="265">
        <f>+K41</f>
        <v>150</v>
      </c>
      <c r="N41" s="23">
        <v>2024003630051</v>
      </c>
      <c r="O41" s="755" t="s">
        <v>600</v>
      </c>
      <c r="P41" s="145" t="s">
        <v>613</v>
      </c>
      <c r="Q41" s="775">
        <v>60000000</v>
      </c>
      <c r="R41" s="271"/>
      <c r="S41" s="271"/>
      <c r="T41" s="271"/>
      <c r="U41" s="262">
        <f>+Q41-R41+S41-T41</f>
        <v>60000000</v>
      </c>
      <c r="V41" s="268" t="s">
        <v>614</v>
      </c>
      <c r="W41" s="756">
        <v>20</v>
      </c>
      <c r="X41" s="265" t="s">
        <v>67</v>
      </c>
      <c r="Y41" s="599">
        <v>6006</v>
      </c>
      <c r="Z41" s="599">
        <v>5326</v>
      </c>
      <c r="AA41" s="599">
        <v>4050</v>
      </c>
      <c r="AB41" s="599">
        <v>916</v>
      </c>
      <c r="AC41" s="599">
        <v>6350</v>
      </c>
      <c r="AD41" s="599">
        <v>15</v>
      </c>
      <c r="AE41" s="599">
        <v>0</v>
      </c>
      <c r="AF41" s="599">
        <v>0</v>
      </c>
      <c r="AG41" s="599">
        <v>0</v>
      </c>
      <c r="AH41" s="599">
        <v>0</v>
      </c>
      <c r="AI41" s="599">
        <v>0</v>
      </c>
      <c r="AJ41" s="599">
        <v>0</v>
      </c>
      <c r="AK41" s="599">
        <v>0</v>
      </c>
      <c r="AL41" s="599">
        <v>0</v>
      </c>
      <c r="AM41" s="599">
        <v>0</v>
      </c>
      <c r="AN41" s="599">
        <v>11331</v>
      </c>
      <c r="AO41" s="448">
        <v>45659</v>
      </c>
      <c r="AP41" s="448">
        <v>46021</v>
      </c>
      <c r="AQ41" s="28" t="s">
        <v>521</v>
      </c>
    </row>
    <row r="42" spans="1:43" ht="81.599999999999994" hidden="1" customHeight="1">
      <c r="A42" s="23">
        <v>1</v>
      </c>
      <c r="B42" s="133" t="s">
        <v>513</v>
      </c>
      <c r="C42" s="28">
        <v>33</v>
      </c>
      <c r="D42" s="28" t="s">
        <v>514</v>
      </c>
      <c r="E42" s="23">
        <v>3301</v>
      </c>
      <c r="F42" s="133" t="s">
        <v>542</v>
      </c>
      <c r="G42" s="23">
        <v>3301051</v>
      </c>
      <c r="H42" s="133" t="s">
        <v>615</v>
      </c>
      <c r="I42" s="23">
        <v>330105100</v>
      </c>
      <c r="J42" s="133" t="s">
        <v>565</v>
      </c>
      <c r="K42" s="265">
        <v>3240</v>
      </c>
      <c r="L42" s="265">
        <v>1865</v>
      </c>
      <c r="M42" s="265">
        <f>+K42+L42</f>
        <v>5105</v>
      </c>
      <c r="N42" s="23">
        <v>2024003630051</v>
      </c>
      <c r="O42" s="755" t="s">
        <v>600</v>
      </c>
      <c r="P42" s="145" t="s">
        <v>616</v>
      </c>
      <c r="Q42" s="271">
        <v>20000000</v>
      </c>
      <c r="R42" s="271">
        <f>4000000+11600000</f>
        <v>15600000</v>
      </c>
      <c r="S42" s="271"/>
      <c r="T42" s="271"/>
      <c r="U42" s="262">
        <f>+Q42-R42+S42-T42</f>
        <v>4400000</v>
      </c>
      <c r="V42" s="145" t="s">
        <v>617</v>
      </c>
      <c r="W42" s="756">
        <v>20</v>
      </c>
      <c r="X42" s="265" t="s">
        <v>67</v>
      </c>
      <c r="Y42" s="599">
        <v>6006</v>
      </c>
      <c r="Z42" s="599">
        <v>5326</v>
      </c>
      <c r="AA42" s="599">
        <v>4050</v>
      </c>
      <c r="AB42" s="599">
        <v>916</v>
      </c>
      <c r="AC42" s="599">
        <v>6350</v>
      </c>
      <c r="AD42" s="599">
        <v>15</v>
      </c>
      <c r="AE42" s="599">
        <v>0</v>
      </c>
      <c r="AF42" s="599">
        <v>0</v>
      </c>
      <c r="AG42" s="599">
        <v>0</v>
      </c>
      <c r="AH42" s="599">
        <v>0</v>
      </c>
      <c r="AI42" s="599">
        <v>0</v>
      </c>
      <c r="AJ42" s="599">
        <v>0</v>
      </c>
      <c r="AK42" s="599">
        <v>0</v>
      </c>
      <c r="AL42" s="599">
        <v>0</v>
      </c>
      <c r="AM42" s="599">
        <v>0</v>
      </c>
      <c r="AN42" s="599">
        <v>11331</v>
      </c>
      <c r="AO42" s="448">
        <v>45659</v>
      </c>
      <c r="AP42" s="448">
        <v>46021</v>
      </c>
      <c r="AQ42" s="28" t="s">
        <v>521</v>
      </c>
    </row>
    <row r="43" spans="1:43" ht="81.599999999999994" hidden="1" customHeight="1">
      <c r="A43" s="23">
        <v>1</v>
      </c>
      <c r="B43" s="133" t="s">
        <v>513</v>
      </c>
      <c r="C43" s="28">
        <v>33</v>
      </c>
      <c r="D43" s="28" t="s">
        <v>514</v>
      </c>
      <c r="E43" s="23">
        <v>3301</v>
      </c>
      <c r="F43" s="133" t="s">
        <v>542</v>
      </c>
      <c r="G43" s="23">
        <v>3301052</v>
      </c>
      <c r="H43" s="133" t="s">
        <v>618</v>
      </c>
      <c r="I43" s="23">
        <v>330105200</v>
      </c>
      <c r="J43" s="133" t="s">
        <v>619</v>
      </c>
      <c r="K43" s="265">
        <v>135</v>
      </c>
      <c r="L43" s="265"/>
      <c r="M43" s="265">
        <f t="shared" ref="M43:M52" si="2">+K43+L43</f>
        <v>135</v>
      </c>
      <c r="N43" s="23">
        <v>2024003630051</v>
      </c>
      <c r="O43" s="755" t="s">
        <v>600</v>
      </c>
      <c r="P43" s="145" t="s">
        <v>620</v>
      </c>
      <c r="Q43" s="261">
        <v>20000000</v>
      </c>
      <c r="R43" s="261">
        <f>5800000+7000000</f>
        <v>12800000</v>
      </c>
      <c r="S43" s="261"/>
      <c r="T43" s="261"/>
      <c r="U43" s="262">
        <f>+Q43-R43+S43-T43</f>
        <v>7200000</v>
      </c>
      <c r="V43" s="145" t="s">
        <v>621</v>
      </c>
      <c r="W43" s="756">
        <v>20</v>
      </c>
      <c r="X43" s="265" t="s">
        <v>67</v>
      </c>
      <c r="Y43" s="599">
        <v>6006</v>
      </c>
      <c r="Z43" s="599">
        <v>5326</v>
      </c>
      <c r="AA43" s="599">
        <v>4050</v>
      </c>
      <c r="AB43" s="599">
        <v>916</v>
      </c>
      <c r="AC43" s="599">
        <v>6350</v>
      </c>
      <c r="AD43" s="599">
        <v>15</v>
      </c>
      <c r="AE43" s="599">
        <v>0</v>
      </c>
      <c r="AF43" s="599">
        <v>0</v>
      </c>
      <c r="AG43" s="599">
        <v>0</v>
      </c>
      <c r="AH43" s="599">
        <v>0</v>
      </c>
      <c r="AI43" s="599">
        <v>0</v>
      </c>
      <c r="AJ43" s="599">
        <v>0</v>
      </c>
      <c r="AK43" s="599">
        <v>0</v>
      </c>
      <c r="AL43" s="599">
        <v>0</v>
      </c>
      <c r="AM43" s="599">
        <v>0</v>
      </c>
      <c r="AN43" s="599">
        <v>11331</v>
      </c>
      <c r="AO43" s="448">
        <v>45659</v>
      </c>
      <c r="AP43" s="448">
        <v>46021</v>
      </c>
      <c r="AQ43" s="28" t="s">
        <v>521</v>
      </c>
    </row>
    <row r="44" spans="1:43" ht="81.599999999999994" hidden="1" customHeight="1">
      <c r="A44" s="23">
        <v>1</v>
      </c>
      <c r="B44" s="133" t="s">
        <v>513</v>
      </c>
      <c r="C44" s="28">
        <v>33</v>
      </c>
      <c r="D44" s="28" t="s">
        <v>514</v>
      </c>
      <c r="E44" s="23">
        <v>3301</v>
      </c>
      <c r="F44" s="133" t="s">
        <v>542</v>
      </c>
      <c r="G44" s="23">
        <v>3301087</v>
      </c>
      <c r="H44" s="133" t="s">
        <v>622</v>
      </c>
      <c r="I44" s="23">
        <v>330108701</v>
      </c>
      <c r="J44" s="133" t="s">
        <v>623</v>
      </c>
      <c r="K44" s="265">
        <v>5235</v>
      </c>
      <c r="L44" s="265"/>
      <c r="M44" s="265">
        <f t="shared" si="2"/>
        <v>5235</v>
      </c>
      <c r="N44" s="23">
        <v>2024003630051</v>
      </c>
      <c r="O44" s="755" t="s">
        <v>600</v>
      </c>
      <c r="P44" s="145" t="s">
        <v>624</v>
      </c>
      <c r="Q44" s="269">
        <v>331000000</v>
      </c>
      <c r="R44" s="272">
        <f>8800000+5600000+11200000+8400000+8400000+4000000+5800000+11200000+8400000</f>
        <v>71800000</v>
      </c>
      <c r="S44" s="272"/>
      <c r="T44" s="272"/>
      <c r="U44" s="262">
        <f>+Q44-R44+S44-T44</f>
        <v>259200000</v>
      </c>
      <c r="V44" s="268" t="s">
        <v>625</v>
      </c>
      <c r="W44" s="585">
        <v>20</v>
      </c>
      <c r="X44" s="115" t="s">
        <v>67</v>
      </c>
      <c r="Y44" s="599">
        <v>6006</v>
      </c>
      <c r="Z44" s="599">
        <v>5326</v>
      </c>
      <c r="AA44" s="599">
        <v>4050</v>
      </c>
      <c r="AB44" s="599">
        <v>916</v>
      </c>
      <c r="AC44" s="599">
        <v>6350</v>
      </c>
      <c r="AD44" s="599">
        <v>15</v>
      </c>
      <c r="AE44" s="599">
        <v>0</v>
      </c>
      <c r="AF44" s="599">
        <v>0</v>
      </c>
      <c r="AG44" s="599">
        <v>0</v>
      </c>
      <c r="AH44" s="599">
        <v>0</v>
      </c>
      <c r="AI44" s="599">
        <v>0</v>
      </c>
      <c r="AJ44" s="599">
        <v>0</v>
      </c>
      <c r="AK44" s="599">
        <v>0</v>
      </c>
      <c r="AL44" s="599">
        <v>0</v>
      </c>
      <c r="AM44" s="599">
        <v>0</v>
      </c>
      <c r="AN44" s="599">
        <v>11331</v>
      </c>
      <c r="AO44" s="448">
        <v>45659</v>
      </c>
      <c r="AP44" s="448">
        <v>46021</v>
      </c>
      <c r="AQ44" s="28" t="s">
        <v>521</v>
      </c>
    </row>
    <row r="45" spans="1:43" ht="81.599999999999994" hidden="1" customHeight="1">
      <c r="A45" s="23">
        <v>1</v>
      </c>
      <c r="B45" s="133" t="s">
        <v>513</v>
      </c>
      <c r="C45" s="28">
        <v>33</v>
      </c>
      <c r="D45" s="28" t="s">
        <v>514</v>
      </c>
      <c r="E45" s="23">
        <v>3301</v>
      </c>
      <c r="F45" s="133" t="s">
        <v>542</v>
      </c>
      <c r="G45" s="23">
        <v>3301087</v>
      </c>
      <c r="H45" s="133" t="s">
        <v>622</v>
      </c>
      <c r="I45" s="23">
        <v>330108701</v>
      </c>
      <c r="J45" s="133" t="s">
        <v>623</v>
      </c>
      <c r="K45" s="265">
        <v>5235</v>
      </c>
      <c r="L45" s="265"/>
      <c r="M45" s="265">
        <f t="shared" si="2"/>
        <v>5235</v>
      </c>
      <c r="N45" s="23">
        <v>2024003630051</v>
      </c>
      <c r="O45" s="755" t="s">
        <v>600</v>
      </c>
      <c r="P45" s="145" t="s">
        <v>626</v>
      </c>
      <c r="Q45" s="269">
        <v>5000000</v>
      </c>
      <c r="R45" s="273"/>
      <c r="S45" s="273"/>
      <c r="T45" s="273"/>
      <c r="U45" s="262">
        <f>+Q45-R45+S45-T45</f>
        <v>5000000</v>
      </c>
      <c r="V45" s="268" t="s">
        <v>627</v>
      </c>
      <c r="W45" s="585">
        <v>20</v>
      </c>
      <c r="X45" s="115" t="s">
        <v>67</v>
      </c>
      <c r="Y45" s="599">
        <v>6006</v>
      </c>
      <c r="Z45" s="599">
        <v>5326</v>
      </c>
      <c r="AA45" s="599">
        <v>4050</v>
      </c>
      <c r="AB45" s="599">
        <v>916</v>
      </c>
      <c r="AC45" s="599">
        <v>6350</v>
      </c>
      <c r="AD45" s="599">
        <v>15</v>
      </c>
      <c r="AE45" s="599">
        <v>0</v>
      </c>
      <c r="AF45" s="599">
        <v>0</v>
      </c>
      <c r="AG45" s="599">
        <v>0</v>
      </c>
      <c r="AH45" s="599">
        <v>0</v>
      </c>
      <c r="AI45" s="599">
        <v>0</v>
      </c>
      <c r="AJ45" s="599">
        <v>0</v>
      </c>
      <c r="AK45" s="599">
        <v>0</v>
      </c>
      <c r="AL45" s="599">
        <v>0</v>
      </c>
      <c r="AM45" s="599">
        <v>0</v>
      </c>
      <c r="AN45" s="599">
        <v>11331</v>
      </c>
      <c r="AO45" s="448">
        <v>45659</v>
      </c>
      <c r="AP45" s="448">
        <v>46021</v>
      </c>
      <c r="AQ45" s="28" t="s">
        <v>521</v>
      </c>
    </row>
    <row r="46" spans="1:43" ht="81.599999999999994" hidden="1" customHeight="1">
      <c r="A46" s="23">
        <v>1</v>
      </c>
      <c r="B46" s="133" t="s">
        <v>513</v>
      </c>
      <c r="C46" s="28">
        <v>33</v>
      </c>
      <c r="D46" s="28" t="s">
        <v>514</v>
      </c>
      <c r="E46" s="23">
        <v>3301</v>
      </c>
      <c r="F46" s="133" t="s">
        <v>542</v>
      </c>
      <c r="G46" s="23">
        <v>3301087</v>
      </c>
      <c r="H46" s="133" t="s">
        <v>622</v>
      </c>
      <c r="I46" s="23">
        <v>330108701</v>
      </c>
      <c r="J46" s="133" t="s">
        <v>623</v>
      </c>
      <c r="K46" s="265">
        <v>5235</v>
      </c>
      <c r="L46" s="265"/>
      <c r="M46" s="265">
        <f t="shared" si="2"/>
        <v>5235</v>
      </c>
      <c r="N46" s="23">
        <v>2024003630051</v>
      </c>
      <c r="O46" s="755" t="s">
        <v>600</v>
      </c>
      <c r="P46" s="145" t="s">
        <v>628</v>
      </c>
      <c r="Q46" s="269">
        <v>4000000</v>
      </c>
      <c r="R46" s="273"/>
      <c r="S46" s="273"/>
      <c r="T46" s="273"/>
      <c r="U46" s="262">
        <f>+Q46-R46+S46-T46</f>
        <v>4000000</v>
      </c>
      <c r="V46" s="268" t="s">
        <v>629</v>
      </c>
      <c r="W46" s="585">
        <v>20</v>
      </c>
      <c r="X46" s="115" t="s">
        <v>67</v>
      </c>
      <c r="Y46" s="599">
        <v>6006</v>
      </c>
      <c r="Z46" s="599">
        <v>5326</v>
      </c>
      <c r="AA46" s="599">
        <v>4050</v>
      </c>
      <c r="AB46" s="599">
        <v>916</v>
      </c>
      <c r="AC46" s="599">
        <v>6350</v>
      </c>
      <c r="AD46" s="599">
        <v>15</v>
      </c>
      <c r="AE46" s="599">
        <v>0</v>
      </c>
      <c r="AF46" s="599">
        <v>0</v>
      </c>
      <c r="AG46" s="599">
        <v>0</v>
      </c>
      <c r="AH46" s="599">
        <v>0</v>
      </c>
      <c r="AI46" s="599">
        <v>0</v>
      </c>
      <c r="AJ46" s="599">
        <v>0</v>
      </c>
      <c r="AK46" s="599">
        <v>0</v>
      </c>
      <c r="AL46" s="599">
        <v>0</v>
      </c>
      <c r="AM46" s="599">
        <v>0</v>
      </c>
      <c r="AN46" s="599">
        <v>11331</v>
      </c>
      <c r="AO46" s="448">
        <v>45659</v>
      </c>
      <c r="AP46" s="448">
        <v>46021</v>
      </c>
      <c r="AQ46" s="28" t="s">
        <v>521</v>
      </c>
    </row>
    <row r="47" spans="1:43" ht="81.599999999999994" hidden="1" customHeight="1">
      <c r="A47" s="23">
        <v>1</v>
      </c>
      <c r="B47" s="133" t="s">
        <v>513</v>
      </c>
      <c r="C47" s="28">
        <v>33</v>
      </c>
      <c r="D47" s="28" t="s">
        <v>514</v>
      </c>
      <c r="E47" s="23">
        <v>3301</v>
      </c>
      <c r="F47" s="133" t="s">
        <v>542</v>
      </c>
      <c r="G47" s="23">
        <v>3301054</v>
      </c>
      <c r="H47" s="133" t="s">
        <v>630</v>
      </c>
      <c r="I47" s="23">
        <v>330105400</v>
      </c>
      <c r="J47" s="133" t="s">
        <v>631</v>
      </c>
      <c r="K47" s="265">
        <v>115</v>
      </c>
      <c r="L47" s="265"/>
      <c r="M47" s="265">
        <f t="shared" si="2"/>
        <v>115</v>
      </c>
      <c r="N47" s="23">
        <v>2024003630051</v>
      </c>
      <c r="O47" s="755" t="s">
        <v>600</v>
      </c>
      <c r="P47" s="145" t="s">
        <v>632</v>
      </c>
      <c r="Q47" s="896">
        <v>202273000</v>
      </c>
      <c r="R47" s="273">
        <f>3000000+5000000+7200000+14800000+7800000+6000000+5000000</f>
        <v>48800000</v>
      </c>
      <c r="S47" s="273"/>
      <c r="T47" s="273"/>
      <c r="U47" s="262">
        <f>+Q47-R47+S47-T47</f>
        <v>153473000</v>
      </c>
      <c r="V47" s="268" t="s">
        <v>633</v>
      </c>
      <c r="W47" s="585">
        <v>39</v>
      </c>
      <c r="X47" s="115" t="s">
        <v>634</v>
      </c>
      <c r="Y47" s="599">
        <v>6006</v>
      </c>
      <c r="Z47" s="599">
        <v>5326</v>
      </c>
      <c r="AA47" s="599">
        <v>4050</v>
      </c>
      <c r="AB47" s="599">
        <v>916</v>
      </c>
      <c r="AC47" s="599">
        <v>6350</v>
      </c>
      <c r="AD47" s="599">
        <v>15</v>
      </c>
      <c r="AE47" s="599">
        <v>0</v>
      </c>
      <c r="AF47" s="599">
        <v>0</v>
      </c>
      <c r="AG47" s="599">
        <v>0</v>
      </c>
      <c r="AH47" s="599">
        <v>0</v>
      </c>
      <c r="AI47" s="599">
        <v>0</v>
      </c>
      <c r="AJ47" s="599">
        <v>0</v>
      </c>
      <c r="AK47" s="599">
        <v>0</v>
      </c>
      <c r="AL47" s="599">
        <v>0</v>
      </c>
      <c r="AM47" s="599">
        <v>0</v>
      </c>
      <c r="AN47" s="599">
        <v>11331</v>
      </c>
      <c r="AO47" s="448">
        <v>45659</v>
      </c>
      <c r="AP47" s="448">
        <v>46021</v>
      </c>
      <c r="AQ47" s="28" t="s">
        <v>521</v>
      </c>
    </row>
    <row r="48" spans="1:43" ht="81.599999999999994" hidden="1" customHeight="1">
      <c r="A48" s="23">
        <v>1</v>
      </c>
      <c r="B48" s="133" t="s">
        <v>513</v>
      </c>
      <c r="C48" s="28">
        <v>33</v>
      </c>
      <c r="D48" s="28" t="s">
        <v>514</v>
      </c>
      <c r="E48" s="23">
        <v>3301</v>
      </c>
      <c r="F48" s="133" t="s">
        <v>542</v>
      </c>
      <c r="G48" s="23">
        <v>3301054</v>
      </c>
      <c r="H48" s="133" t="s">
        <v>630</v>
      </c>
      <c r="I48" s="23">
        <v>330105400</v>
      </c>
      <c r="J48" s="133" t="s">
        <v>631</v>
      </c>
      <c r="K48" s="265">
        <v>115</v>
      </c>
      <c r="L48" s="265"/>
      <c r="M48" s="265">
        <f t="shared" si="2"/>
        <v>115</v>
      </c>
      <c r="N48" s="23">
        <v>2024003630051</v>
      </c>
      <c r="O48" s="755" t="s">
        <v>600</v>
      </c>
      <c r="P48" s="145" t="s">
        <v>635</v>
      </c>
      <c r="Q48" s="269">
        <v>40455156</v>
      </c>
      <c r="R48" s="273">
        <v>14000000</v>
      </c>
      <c r="S48" s="273"/>
      <c r="T48" s="273"/>
      <c r="U48" s="262">
        <f>+Q48-R48+S48-T48</f>
        <v>26455156</v>
      </c>
      <c r="V48" s="268" t="s">
        <v>636</v>
      </c>
      <c r="W48" s="585">
        <v>41</v>
      </c>
      <c r="X48" s="115" t="s">
        <v>637</v>
      </c>
      <c r="Y48" s="599">
        <v>6006</v>
      </c>
      <c r="Z48" s="599">
        <v>5326</v>
      </c>
      <c r="AA48" s="599">
        <v>4050</v>
      </c>
      <c r="AB48" s="599">
        <v>916</v>
      </c>
      <c r="AC48" s="599">
        <v>6350</v>
      </c>
      <c r="AD48" s="599">
        <v>15</v>
      </c>
      <c r="AE48" s="599">
        <v>0</v>
      </c>
      <c r="AF48" s="599">
        <v>0</v>
      </c>
      <c r="AG48" s="599">
        <v>0</v>
      </c>
      <c r="AH48" s="599">
        <v>0</v>
      </c>
      <c r="AI48" s="599">
        <v>0</v>
      </c>
      <c r="AJ48" s="599">
        <v>0</v>
      </c>
      <c r="AK48" s="599">
        <v>0</v>
      </c>
      <c r="AL48" s="599">
        <v>0</v>
      </c>
      <c r="AM48" s="599">
        <v>0</v>
      </c>
      <c r="AN48" s="599">
        <v>11331</v>
      </c>
      <c r="AO48" s="448">
        <v>45659</v>
      </c>
      <c r="AP48" s="448">
        <v>46021</v>
      </c>
      <c r="AQ48" s="28" t="s">
        <v>521</v>
      </c>
    </row>
    <row r="49" spans="1:44" ht="81.599999999999994" hidden="1" customHeight="1">
      <c r="A49" s="23">
        <v>1</v>
      </c>
      <c r="B49" s="133" t="s">
        <v>513</v>
      </c>
      <c r="C49" s="28">
        <v>33</v>
      </c>
      <c r="D49" s="28" t="s">
        <v>514</v>
      </c>
      <c r="E49" s="23">
        <v>3301</v>
      </c>
      <c r="F49" s="133" t="s">
        <v>542</v>
      </c>
      <c r="G49" s="23">
        <v>3301054</v>
      </c>
      <c r="H49" s="133" t="s">
        <v>630</v>
      </c>
      <c r="I49" s="23">
        <v>330105400</v>
      </c>
      <c r="J49" s="133" t="s">
        <v>631</v>
      </c>
      <c r="K49" s="265">
        <v>115</v>
      </c>
      <c r="L49" s="265"/>
      <c r="M49" s="265">
        <f t="shared" si="2"/>
        <v>115</v>
      </c>
      <c r="N49" s="23">
        <v>2024003630051</v>
      </c>
      <c r="O49" s="755" t="s">
        <v>600</v>
      </c>
      <c r="P49" s="145" t="s">
        <v>638</v>
      </c>
      <c r="Q49" s="895">
        <v>1820457804.3010001</v>
      </c>
      <c r="R49" s="273"/>
      <c r="S49" s="273"/>
      <c r="T49" s="273"/>
      <c r="U49" s="262">
        <f>+Q49-R49+S49-T49</f>
        <v>1820457804.3010001</v>
      </c>
      <c r="V49" s="776" t="s">
        <v>633</v>
      </c>
      <c r="W49" s="585">
        <v>39</v>
      </c>
      <c r="X49" s="115" t="s">
        <v>634</v>
      </c>
      <c r="Y49" s="599">
        <v>6006</v>
      </c>
      <c r="Z49" s="599">
        <v>5326</v>
      </c>
      <c r="AA49" s="599">
        <v>4050</v>
      </c>
      <c r="AB49" s="599">
        <v>916</v>
      </c>
      <c r="AC49" s="599">
        <v>6350</v>
      </c>
      <c r="AD49" s="599">
        <v>15</v>
      </c>
      <c r="AE49" s="599">
        <v>0</v>
      </c>
      <c r="AF49" s="599">
        <v>0</v>
      </c>
      <c r="AG49" s="599">
        <v>0</v>
      </c>
      <c r="AH49" s="599">
        <v>0</v>
      </c>
      <c r="AI49" s="599">
        <v>0</v>
      </c>
      <c r="AJ49" s="599">
        <v>0</v>
      </c>
      <c r="AK49" s="599">
        <v>0</v>
      </c>
      <c r="AL49" s="599">
        <v>0</v>
      </c>
      <c r="AM49" s="599">
        <v>0</v>
      </c>
      <c r="AN49" s="599">
        <v>11331</v>
      </c>
      <c r="AO49" s="448">
        <v>45659</v>
      </c>
      <c r="AP49" s="448">
        <v>46021</v>
      </c>
      <c r="AQ49" s="28" t="s">
        <v>521</v>
      </c>
    </row>
    <row r="50" spans="1:44" ht="81.599999999999994" hidden="1" customHeight="1">
      <c r="A50" s="675">
        <v>1</v>
      </c>
      <c r="B50" s="133" t="s">
        <v>513</v>
      </c>
      <c r="C50" s="28">
        <v>33</v>
      </c>
      <c r="D50" s="28" t="s">
        <v>514</v>
      </c>
      <c r="E50" s="23">
        <v>3301</v>
      </c>
      <c r="F50" s="133" t="s">
        <v>542</v>
      </c>
      <c r="G50" s="23">
        <v>3301054</v>
      </c>
      <c r="H50" s="133" t="s">
        <v>630</v>
      </c>
      <c r="I50" s="23">
        <v>330105400</v>
      </c>
      <c r="J50" s="133" t="s">
        <v>631</v>
      </c>
      <c r="K50" s="265">
        <v>115</v>
      </c>
      <c r="L50" s="265"/>
      <c r="M50" s="265">
        <f t="shared" si="2"/>
        <v>115</v>
      </c>
      <c r="N50" s="23">
        <v>2024003630051</v>
      </c>
      <c r="O50" s="755" t="s">
        <v>600</v>
      </c>
      <c r="P50" s="145" t="s">
        <v>639</v>
      </c>
      <c r="Q50" s="777">
        <v>364096415.60000002</v>
      </c>
      <c r="R50" s="273"/>
      <c r="S50" s="273"/>
      <c r="T50" s="273"/>
      <c r="U50" s="262">
        <f>+Q50-R50+S50-T50</f>
        <v>364096415.60000002</v>
      </c>
      <c r="V50" s="268" t="s">
        <v>636</v>
      </c>
      <c r="W50" s="585">
        <v>41</v>
      </c>
      <c r="X50" s="115" t="s">
        <v>637</v>
      </c>
      <c r="Y50" s="599">
        <v>6006</v>
      </c>
      <c r="Z50" s="599">
        <v>5326</v>
      </c>
      <c r="AA50" s="599">
        <v>4050</v>
      </c>
      <c r="AB50" s="599">
        <v>916</v>
      </c>
      <c r="AC50" s="599">
        <v>6350</v>
      </c>
      <c r="AD50" s="599">
        <v>15</v>
      </c>
      <c r="AE50" s="599">
        <v>0</v>
      </c>
      <c r="AF50" s="599">
        <v>0</v>
      </c>
      <c r="AG50" s="599">
        <v>0</v>
      </c>
      <c r="AH50" s="599">
        <v>0</v>
      </c>
      <c r="AI50" s="599">
        <v>0</v>
      </c>
      <c r="AJ50" s="599">
        <v>0</v>
      </c>
      <c r="AK50" s="599">
        <v>0</v>
      </c>
      <c r="AL50" s="599">
        <v>0</v>
      </c>
      <c r="AM50" s="599">
        <v>0</v>
      </c>
      <c r="AN50" s="599">
        <v>11331</v>
      </c>
      <c r="AO50" s="448">
        <v>45659</v>
      </c>
      <c r="AP50" s="448">
        <v>46021</v>
      </c>
      <c r="AQ50" s="28" t="s">
        <v>521</v>
      </c>
    </row>
    <row r="51" spans="1:44" ht="81.599999999999994" hidden="1" customHeight="1">
      <c r="A51" s="23">
        <v>1</v>
      </c>
      <c r="B51" s="133" t="s">
        <v>513</v>
      </c>
      <c r="C51" s="28">
        <v>33</v>
      </c>
      <c r="D51" s="28" t="s">
        <v>514</v>
      </c>
      <c r="E51" s="23">
        <v>3301</v>
      </c>
      <c r="F51" s="133" t="s">
        <v>542</v>
      </c>
      <c r="G51" s="23">
        <v>3301054</v>
      </c>
      <c r="H51" s="133" t="s">
        <v>630</v>
      </c>
      <c r="I51" s="23">
        <v>330105400</v>
      </c>
      <c r="J51" s="133" t="s">
        <v>631</v>
      </c>
      <c r="K51" s="265">
        <v>115</v>
      </c>
      <c r="L51" s="265"/>
      <c r="M51" s="265">
        <f t="shared" si="2"/>
        <v>115</v>
      </c>
      <c r="N51" s="23">
        <v>2024003630051</v>
      </c>
      <c r="O51" s="755" t="s">
        <v>600</v>
      </c>
      <c r="P51" s="145" t="s">
        <v>640</v>
      </c>
      <c r="Q51" s="894">
        <v>404547064.06400001</v>
      </c>
      <c r="R51" s="274"/>
      <c r="S51" s="274"/>
      <c r="T51" s="274"/>
      <c r="U51" s="262">
        <f>+Q51-R51+S51-T51</f>
        <v>404547064.06400001</v>
      </c>
      <c r="V51" s="778" t="s">
        <v>641</v>
      </c>
      <c r="W51" s="585">
        <v>33</v>
      </c>
      <c r="X51" s="115" t="s">
        <v>642</v>
      </c>
      <c r="Y51" s="599">
        <v>6006</v>
      </c>
      <c r="Z51" s="599">
        <v>5326</v>
      </c>
      <c r="AA51" s="599">
        <v>4050</v>
      </c>
      <c r="AB51" s="599">
        <v>916</v>
      </c>
      <c r="AC51" s="599">
        <v>6350</v>
      </c>
      <c r="AD51" s="599">
        <v>15</v>
      </c>
      <c r="AE51" s="599">
        <v>0</v>
      </c>
      <c r="AF51" s="599">
        <v>0</v>
      </c>
      <c r="AG51" s="599">
        <v>0</v>
      </c>
      <c r="AH51" s="599">
        <v>0</v>
      </c>
      <c r="AI51" s="599">
        <v>0</v>
      </c>
      <c r="AJ51" s="599">
        <v>0</v>
      </c>
      <c r="AK51" s="599">
        <v>0</v>
      </c>
      <c r="AL51" s="599">
        <v>0</v>
      </c>
      <c r="AM51" s="599">
        <v>0</v>
      </c>
      <c r="AN51" s="599">
        <v>11331</v>
      </c>
      <c r="AO51" s="448">
        <v>45659</v>
      </c>
      <c r="AP51" s="448">
        <v>46021</v>
      </c>
      <c r="AQ51" s="28" t="s">
        <v>521</v>
      </c>
    </row>
    <row r="52" spans="1:44" ht="81.599999999999994" hidden="1" customHeight="1">
      <c r="A52" s="23">
        <v>1</v>
      </c>
      <c r="B52" s="133" t="s">
        <v>513</v>
      </c>
      <c r="C52" s="28">
        <v>33</v>
      </c>
      <c r="D52" s="28" t="s">
        <v>514</v>
      </c>
      <c r="E52" s="23">
        <v>3301</v>
      </c>
      <c r="F52" s="133" t="s">
        <v>542</v>
      </c>
      <c r="G52" s="23">
        <v>3301054</v>
      </c>
      <c r="H52" s="133" t="s">
        <v>630</v>
      </c>
      <c r="I52" s="23">
        <v>330105400</v>
      </c>
      <c r="J52" s="133" t="s">
        <v>631</v>
      </c>
      <c r="K52" s="265">
        <v>115</v>
      </c>
      <c r="L52" s="265"/>
      <c r="M52" s="265">
        <f t="shared" si="2"/>
        <v>115</v>
      </c>
      <c r="N52" s="23">
        <v>2024003630051</v>
      </c>
      <c r="O52" s="755" t="s">
        <v>600</v>
      </c>
      <c r="P52" s="779" t="s">
        <v>643</v>
      </c>
      <c r="Q52" s="780">
        <v>20000000</v>
      </c>
      <c r="R52" s="274">
        <v>7000000</v>
      </c>
      <c r="S52" s="274"/>
      <c r="T52" s="274"/>
      <c r="U52" s="262">
        <f>+Q52-R52+S52-T52</f>
        <v>13000000</v>
      </c>
      <c r="V52" s="268" t="s">
        <v>644</v>
      </c>
      <c r="W52" s="585">
        <v>20</v>
      </c>
      <c r="X52" s="115" t="s">
        <v>67</v>
      </c>
      <c r="Y52" s="599">
        <v>6006</v>
      </c>
      <c r="Z52" s="599">
        <v>5326</v>
      </c>
      <c r="AA52" s="599">
        <v>4050</v>
      </c>
      <c r="AB52" s="599">
        <v>916</v>
      </c>
      <c r="AC52" s="599">
        <v>6350</v>
      </c>
      <c r="AD52" s="599">
        <v>15</v>
      </c>
      <c r="AE52" s="599">
        <v>0</v>
      </c>
      <c r="AF52" s="599">
        <v>0</v>
      </c>
      <c r="AG52" s="599">
        <v>0</v>
      </c>
      <c r="AH52" s="599">
        <v>0</v>
      </c>
      <c r="AI52" s="599">
        <v>0</v>
      </c>
      <c r="AJ52" s="599">
        <v>0</v>
      </c>
      <c r="AK52" s="599">
        <v>0</v>
      </c>
      <c r="AL52" s="599">
        <v>0</v>
      </c>
      <c r="AM52" s="599">
        <v>0</v>
      </c>
      <c r="AN52" s="599">
        <v>11331</v>
      </c>
      <c r="AO52" s="448">
        <v>45659</v>
      </c>
      <c r="AP52" s="448">
        <v>46021</v>
      </c>
      <c r="AQ52" s="28" t="s">
        <v>521</v>
      </c>
    </row>
    <row r="53" spans="1:44" ht="24.75" hidden="1" customHeight="1" thickBot="1">
      <c r="A53" s="97"/>
      <c r="B53" s="275"/>
      <c r="C53" s="275"/>
      <c r="D53" s="275"/>
      <c r="E53" s="276"/>
      <c r="F53" s="277"/>
      <c r="G53" s="97"/>
      <c r="H53" s="97"/>
      <c r="I53" s="97"/>
      <c r="J53" s="97"/>
      <c r="K53" s="278"/>
      <c r="L53" s="278"/>
      <c r="M53" s="278"/>
      <c r="N53" s="276"/>
      <c r="O53" s="279"/>
      <c r="P53" s="26"/>
      <c r="Q53" s="280">
        <f>SUM(Q10:Q52)</f>
        <v>5686074155.0250006</v>
      </c>
      <c r="R53" s="281"/>
      <c r="S53" s="281"/>
      <c r="T53" s="281"/>
      <c r="U53" s="281"/>
      <c r="V53" s="21"/>
      <c r="W53" s="49"/>
      <c r="X53" s="49"/>
      <c r="Y53" s="49"/>
      <c r="Z53" s="49"/>
      <c r="AA53" s="49"/>
      <c r="AB53" s="49"/>
      <c r="AC53" s="49"/>
      <c r="AD53" s="49"/>
      <c r="AE53" s="49"/>
      <c r="AF53" s="49"/>
      <c r="AG53" s="49"/>
      <c r="AH53" s="49"/>
      <c r="AI53" s="49"/>
      <c r="AJ53" s="49"/>
      <c r="AK53" s="49"/>
      <c r="AL53" s="49"/>
      <c r="AM53" s="49"/>
      <c r="AN53" s="49"/>
      <c r="AO53" s="282"/>
      <c r="AP53" s="282"/>
      <c r="AQ53" s="275"/>
    </row>
    <row r="54" spans="1:44" ht="15" hidden="1" customHeight="1">
      <c r="R54" t="s">
        <v>645</v>
      </c>
    </row>
    <row r="55" spans="1:44">
      <c r="A55" s="17"/>
      <c r="B55" s="17"/>
      <c r="C55" s="17"/>
      <c r="D55" s="17"/>
      <c r="E55" s="17"/>
      <c r="F55" s="17"/>
      <c r="G55" s="17"/>
      <c r="H55" s="17"/>
      <c r="I55" s="17"/>
      <c r="J55" s="17"/>
      <c r="K55" s="17"/>
      <c r="L55" s="17"/>
      <c r="M55" s="17"/>
      <c r="N55" s="17"/>
      <c r="O55" s="17"/>
      <c r="P55" s="17"/>
      <c r="Q55" s="17"/>
      <c r="R55" s="17"/>
      <c r="S55" s="17"/>
      <c r="T55" s="17"/>
      <c r="U55" s="17"/>
      <c r="V55" s="17"/>
      <c r="W55" s="18"/>
      <c r="X55" s="18"/>
      <c r="Y55" s="17"/>
      <c r="Z55" s="17"/>
      <c r="AA55" s="17"/>
      <c r="AB55" s="17"/>
      <c r="AC55" s="17"/>
      <c r="AD55" s="17"/>
      <c r="AE55" s="17"/>
      <c r="AF55" s="17"/>
      <c r="AG55" s="17"/>
      <c r="AH55" s="17"/>
      <c r="AI55" s="17"/>
      <c r="AJ55" s="17"/>
      <c r="AK55" s="17"/>
      <c r="AL55" s="17"/>
      <c r="AM55" s="17"/>
      <c r="AN55" s="17"/>
      <c r="AO55" s="17"/>
      <c r="AP55" s="17"/>
      <c r="AQ55" s="17"/>
      <c r="AR55" s="17"/>
    </row>
    <row r="56" spans="1:44">
      <c r="A56" s="17"/>
      <c r="B56" s="17"/>
      <c r="C56" s="17"/>
      <c r="D56" s="17"/>
      <c r="E56" s="17"/>
      <c r="F56" s="17"/>
      <c r="G56" s="17"/>
      <c r="H56" s="17"/>
      <c r="I56" s="17"/>
      <c r="J56" s="17"/>
      <c r="K56" s="99"/>
      <c r="L56" s="99"/>
      <c r="M56" s="99"/>
      <c r="N56" s="99"/>
      <c r="O56" s="99"/>
      <c r="P56" s="17"/>
      <c r="Q56" s="17"/>
      <c r="R56" s="17" t="s">
        <v>646</v>
      </c>
      <c r="S56" s="17"/>
      <c r="T56" s="17"/>
      <c r="U56" s="17"/>
      <c r="V56" s="17"/>
      <c r="W56" s="18"/>
      <c r="X56" s="18"/>
      <c r="Y56" s="17"/>
      <c r="Z56" s="17"/>
      <c r="AA56" s="17"/>
      <c r="AB56" s="17"/>
      <c r="AC56" s="17"/>
      <c r="AD56" s="17"/>
      <c r="AE56" s="17"/>
      <c r="AF56" s="17"/>
      <c r="AG56" s="17"/>
      <c r="AH56" s="17"/>
      <c r="AI56" s="17"/>
      <c r="AJ56" s="17"/>
      <c r="AK56" s="17"/>
      <c r="AL56" s="17"/>
      <c r="AM56" s="17"/>
      <c r="AN56" s="17"/>
      <c r="AO56" s="17"/>
      <c r="AP56" s="17"/>
      <c r="AQ56" s="17"/>
      <c r="AR56" s="17"/>
    </row>
    <row r="57" spans="1:44">
      <c r="A57" s="17"/>
      <c r="B57" s="17"/>
      <c r="C57" s="17"/>
      <c r="D57" s="17"/>
      <c r="E57" s="17"/>
      <c r="F57" s="17"/>
      <c r="G57" s="17"/>
      <c r="H57" s="17"/>
      <c r="I57" s="17"/>
      <c r="J57" s="17"/>
      <c r="K57" s="17"/>
      <c r="L57" s="17"/>
      <c r="M57" s="17"/>
      <c r="N57" s="17"/>
      <c r="O57" s="17"/>
      <c r="P57" s="17"/>
      <c r="Q57" s="17"/>
      <c r="R57" s="17"/>
      <c r="S57" s="283"/>
      <c r="T57" s="17"/>
      <c r="U57" s="17"/>
      <c r="V57" s="17"/>
      <c r="W57" s="18"/>
      <c r="X57" s="18"/>
      <c r="Y57" s="17"/>
      <c r="Z57" s="17"/>
      <c r="AA57" s="17"/>
      <c r="AB57" s="17"/>
      <c r="AC57" s="17"/>
      <c r="AD57" s="17"/>
      <c r="AE57" s="17"/>
      <c r="AF57" s="17"/>
      <c r="AG57" s="17"/>
      <c r="AH57" s="17"/>
      <c r="AI57" s="17"/>
      <c r="AJ57" s="17"/>
      <c r="AK57" s="17"/>
      <c r="AL57" s="17"/>
      <c r="AM57" s="17"/>
      <c r="AN57" s="17"/>
      <c r="AO57" s="17"/>
      <c r="AP57" s="17"/>
      <c r="AQ57" s="17"/>
      <c r="AR57" s="17"/>
    </row>
    <row r="58" spans="1:44" ht="15.75">
      <c r="A58" s="17"/>
      <c r="B58" s="17"/>
      <c r="C58" s="17"/>
      <c r="D58" s="17"/>
      <c r="E58" s="17"/>
      <c r="F58" s="17"/>
      <c r="G58" s="17"/>
      <c r="H58" s="17"/>
      <c r="I58" s="17"/>
      <c r="J58" s="17"/>
      <c r="K58" s="284" t="s">
        <v>647</v>
      </c>
      <c r="L58" s="284"/>
      <c r="M58" s="284"/>
      <c r="N58" s="17"/>
      <c r="O58" s="17"/>
      <c r="P58" s="17"/>
      <c r="Q58" s="17"/>
      <c r="R58" s="17"/>
      <c r="S58" s="17"/>
      <c r="T58" s="17"/>
      <c r="U58" s="17"/>
      <c r="V58" s="17"/>
      <c r="W58" s="18"/>
      <c r="X58" s="18"/>
      <c r="Y58" s="17"/>
      <c r="Z58" s="17"/>
      <c r="AA58" s="17"/>
      <c r="AB58" s="17"/>
      <c r="AC58" s="17"/>
      <c r="AD58" s="17"/>
      <c r="AE58" s="17"/>
      <c r="AF58" s="17"/>
      <c r="AG58" s="17"/>
      <c r="AH58" s="17"/>
      <c r="AI58" s="17"/>
      <c r="AJ58" s="17"/>
      <c r="AK58" s="17"/>
      <c r="AL58" s="17"/>
      <c r="AM58" s="17"/>
      <c r="AN58" s="17"/>
      <c r="AO58" s="17"/>
      <c r="AP58" s="17"/>
      <c r="AQ58" s="17"/>
      <c r="AR58" s="17"/>
    </row>
    <row r="59" spans="1:44" ht="15.75">
      <c r="A59" s="17"/>
      <c r="B59" s="17"/>
      <c r="C59" s="17"/>
      <c r="D59" s="17"/>
      <c r="E59" s="17"/>
      <c r="F59" s="17"/>
      <c r="G59" s="17"/>
      <c r="H59" s="17"/>
      <c r="I59" s="17"/>
      <c r="J59" s="17"/>
      <c r="K59" s="284" t="s">
        <v>521</v>
      </c>
      <c r="L59" s="284"/>
      <c r="M59" s="284"/>
      <c r="N59" s="17"/>
      <c r="O59" s="17"/>
      <c r="P59" s="17"/>
      <c r="Q59" s="17"/>
      <c r="R59" s="17"/>
      <c r="S59" s="17"/>
      <c r="T59" s="17"/>
      <c r="U59" s="17"/>
      <c r="W59" s="18"/>
      <c r="X59" s="18"/>
      <c r="Y59" s="17"/>
      <c r="Z59" s="17"/>
      <c r="AA59" s="17"/>
      <c r="AB59" s="17"/>
      <c r="AC59" s="17"/>
      <c r="AD59" s="17"/>
      <c r="AE59" s="17"/>
      <c r="AF59" s="17"/>
      <c r="AG59" s="17"/>
      <c r="AH59" s="17"/>
      <c r="AI59" s="17"/>
      <c r="AJ59" s="17"/>
      <c r="AK59" s="17"/>
      <c r="AL59" s="17"/>
      <c r="AM59" s="17"/>
      <c r="AN59" s="17"/>
      <c r="AO59" s="17"/>
      <c r="AP59" s="17"/>
      <c r="AQ59" s="17"/>
      <c r="AR59" s="17"/>
    </row>
    <row r="60" spans="1:44">
      <c r="A60" s="17"/>
      <c r="B60" s="17"/>
      <c r="C60" s="17"/>
      <c r="D60" s="17"/>
      <c r="E60" s="17"/>
      <c r="F60" s="17"/>
      <c r="G60" s="17"/>
      <c r="H60" s="17"/>
      <c r="I60" s="17"/>
      <c r="J60" s="17"/>
      <c r="K60" s="17"/>
      <c r="L60" s="17"/>
      <c r="M60" s="17"/>
      <c r="N60" s="17"/>
      <c r="O60" s="17"/>
      <c r="P60" s="17"/>
      <c r="Q60" s="17"/>
      <c r="R60" s="17"/>
      <c r="S60" s="17"/>
      <c r="T60" s="17"/>
      <c r="U60" s="17"/>
      <c r="X60" s="18"/>
      <c r="Y60" s="17"/>
      <c r="Z60" s="17"/>
      <c r="AA60" s="17"/>
      <c r="AB60" s="17"/>
      <c r="AC60" s="17"/>
      <c r="AD60" s="17"/>
      <c r="AE60" s="17"/>
      <c r="AF60" s="17"/>
      <c r="AG60" s="17"/>
      <c r="AH60" s="17"/>
      <c r="AI60" s="17"/>
      <c r="AJ60" s="17"/>
      <c r="AK60" s="17"/>
      <c r="AL60" s="17"/>
      <c r="AM60" s="17"/>
      <c r="AN60" s="17"/>
      <c r="AO60" s="17"/>
      <c r="AP60" s="17"/>
      <c r="AQ60" s="17"/>
      <c r="AR60" s="17"/>
    </row>
    <row r="61" spans="1:44">
      <c r="A61" s="17"/>
      <c r="B61" s="17"/>
      <c r="C61" s="17"/>
      <c r="D61" s="17"/>
      <c r="E61" s="17"/>
      <c r="F61" s="17"/>
      <c r="G61" s="17"/>
      <c r="H61" s="17"/>
      <c r="I61" s="17"/>
      <c r="J61" s="17"/>
      <c r="K61" s="17"/>
      <c r="L61" s="17"/>
      <c r="M61" s="17"/>
      <c r="N61" s="17"/>
      <c r="O61" s="17"/>
      <c r="P61" s="17"/>
      <c r="Q61" s="17"/>
      <c r="R61" s="17"/>
      <c r="S61" s="17"/>
      <c r="T61" s="17"/>
      <c r="U61" s="17"/>
      <c r="V61" s="17"/>
      <c r="W61" s="18"/>
      <c r="X61" s="18"/>
      <c r="Y61" s="17"/>
      <c r="Z61" s="17"/>
      <c r="AA61" s="17"/>
      <c r="AB61" s="17"/>
      <c r="AC61" s="17"/>
      <c r="AD61" s="17"/>
      <c r="AE61" s="17"/>
      <c r="AF61" s="17"/>
      <c r="AG61" s="17"/>
      <c r="AH61" s="17"/>
      <c r="AI61" s="17"/>
      <c r="AJ61" s="17"/>
      <c r="AK61" s="17"/>
      <c r="AL61" s="17"/>
      <c r="AM61" s="17"/>
      <c r="AN61" s="17"/>
      <c r="AO61" s="17"/>
      <c r="AP61" s="17"/>
      <c r="AQ61" s="17"/>
      <c r="AR61" s="17"/>
    </row>
    <row r="62" spans="1:44">
      <c r="A62" s="17"/>
      <c r="B62" s="17"/>
      <c r="C62" s="17"/>
      <c r="D62" s="17"/>
      <c r="E62" s="17"/>
      <c r="F62" s="17"/>
      <c r="G62" s="17"/>
      <c r="H62" s="17"/>
      <c r="I62" s="17"/>
      <c r="J62" s="17"/>
      <c r="K62" s="17"/>
      <c r="L62" s="17"/>
      <c r="M62" s="17"/>
      <c r="N62" s="17"/>
      <c r="O62" s="17"/>
      <c r="P62" s="17"/>
      <c r="Q62" s="17"/>
      <c r="R62" s="17"/>
      <c r="S62" s="17"/>
      <c r="T62" s="17"/>
      <c r="U62" s="17"/>
      <c r="V62" s="17"/>
      <c r="W62" s="18"/>
      <c r="X62" s="18"/>
      <c r="Y62" s="17"/>
      <c r="Z62" s="17"/>
      <c r="AA62" s="17"/>
      <c r="AB62" s="17"/>
      <c r="AC62" s="17"/>
      <c r="AD62" s="17"/>
      <c r="AE62" s="17"/>
      <c r="AF62" s="17"/>
      <c r="AG62" s="17"/>
      <c r="AH62" s="17"/>
      <c r="AI62" s="17"/>
      <c r="AJ62" s="17"/>
      <c r="AK62" s="17"/>
      <c r="AL62" s="17"/>
      <c r="AM62" s="17"/>
      <c r="AN62" s="17"/>
      <c r="AO62" s="17"/>
      <c r="AP62" s="17"/>
      <c r="AQ62" s="17"/>
      <c r="AR62" s="17"/>
    </row>
    <row r="63" spans="1:44">
      <c r="A63" s="17"/>
      <c r="B63" s="17"/>
      <c r="C63" s="17"/>
      <c r="D63" s="17"/>
      <c r="E63" s="17"/>
      <c r="F63" s="17"/>
      <c r="G63" s="979" t="s">
        <v>108</v>
      </c>
      <c r="H63" s="979"/>
      <c r="I63" s="982" t="s">
        <v>109</v>
      </c>
      <c r="J63" s="983"/>
      <c r="K63" s="968" t="s">
        <v>110</v>
      </c>
      <c r="L63" s="969"/>
      <c r="M63" s="969"/>
      <c r="N63" s="970"/>
      <c r="O63" s="17"/>
      <c r="P63" s="17"/>
      <c r="Q63" s="17"/>
      <c r="R63" s="17"/>
      <c r="S63" s="17"/>
      <c r="T63" s="17"/>
      <c r="U63" s="17"/>
      <c r="V63" s="17"/>
      <c r="W63" s="18"/>
      <c r="X63" s="18"/>
      <c r="Y63" s="17"/>
      <c r="Z63" s="17"/>
      <c r="AA63" s="17"/>
      <c r="AB63" s="17"/>
      <c r="AC63" s="17"/>
      <c r="AD63" s="17"/>
      <c r="AE63" s="17"/>
      <c r="AF63" s="17"/>
      <c r="AG63" s="17"/>
      <c r="AH63" s="17"/>
      <c r="AI63" s="17"/>
      <c r="AJ63" s="17"/>
      <c r="AK63" s="17"/>
      <c r="AL63" s="17"/>
      <c r="AM63" s="17"/>
      <c r="AN63" s="17"/>
      <c r="AO63" s="17"/>
      <c r="AP63" s="17"/>
      <c r="AQ63" s="17"/>
      <c r="AR63" s="17"/>
    </row>
    <row r="64" spans="1:44" ht="15.75" customHeight="1">
      <c r="A64" s="17"/>
      <c r="B64" s="17"/>
      <c r="C64" s="17"/>
      <c r="D64" s="17"/>
      <c r="E64" s="17"/>
      <c r="F64" s="17"/>
      <c r="G64" s="979" t="s">
        <v>648</v>
      </c>
      <c r="H64" s="979"/>
      <c r="I64" s="285" t="s">
        <v>112</v>
      </c>
      <c r="J64" s="285"/>
      <c r="K64" s="965" t="s">
        <v>113</v>
      </c>
      <c r="L64" s="965"/>
      <c r="M64" s="965"/>
      <c r="N64" s="965"/>
      <c r="O64" s="17"/>
      <c r="P64" s="17"/>
      <c r="Q64" s="17"/>
      <c r="R64" s="17"/>
      <c r="S64" s="17"/>
      <c r="T64" s="17"/>
      <c r="U64" s="17"/>
      <c r="V64" s="24"/>
      <c r="W64" s="18"/>
      <c r="X64" s="18"/>
      <c r="Y64" s="17"/>
      <c r="Z64" s="17"/>
      <c r="AA64" s="17"/>
      <c r="AB64" s="17"/>
      <c r="AC64" s="17"/>
      <c r="AD64" s="17"/>
      <c r="AE64" s="17"/>
      <c r="AF64" s="17"/>
      <c r="AG64" s="17"/>
      <c r="AH64" s="17"/>
      <c r="AI64" s="17"/>
      <c r="AJ64" s="17"/>
      <c r="AK64" s="17"/>
      <c r="AL64" s="17"/>
      <c r="AM64" s="17"/>
      <c r="AN64" s="17"/>
      <c r="AO64" s="17"/>
      <c r="AP64" s="17"/>
      <c r="AQ64" s="17"/>
      <c r="AR64" s="17"/>
    </row>
    <row r="65" spans="7:14" ht="15" customHeight="1">
      <c r="G65" s="979" t="s">
        <v>114</v>
      </c>
      <c r="H65" s="979"/>
      <c r="I65" s="979" t="s">
        <v>115</v>
      </c>
      <c r="J65" s="979"/>
      <c r="K65" s="965" t="s">
        <v>116</v>
      </c>
      <c r="L65" s="965"/>
      <c r="M65" s="965"/>
      <c r="N65" s="965"/>
    </row>
    <row r="66" spans="7:14">
      <c r="G66" s="19" t="s">
        <v>649</v>
      </c>
      <c r="H66" s="17"/>
      <c r="I66" s="17"/>
      <c r="J66" s="17"/>
    </row>
  </sheetData>
  <autoFilter ref="A9:BI54" xr:uid="{00000000-0001-0000-0500-000000000000}">
    <filterColumn colId="15">
      <filters>
        <filter val="CUL-26-2026 Generar contenidos culturales a través de la creación, gestión, producción, coproducción difusión y circulación para visibilizar las manifestaciones del arte y la cultura del Quindío"/>
      </filters>
    </filterColumn>
  </autoFilter>
  <mergeCells count="26">
    <mergeCell ref="G63:H63"/>
    <mergeCell ref="I63:J63"/>
    <mergeCell ref="G64:H64"/>
    <mergeCell ref="G65:H65"/>
    <mergeCell ref="I65:J65"/>
    <mergeCell ref="AP7:AP9"/>
    <mergeCell ref="AQ7:AQ9"/>
    <mergeCell ref="Y8:Z8"/>
    <mergeCell ref="AA8:AD8"/>
    <mergeCell ref="AE8:AJ8"/>
    <mergeCell ref="AK8:AM8"/>
    <mergeCell ref="AN8:AN9"/>
    <mergeCell ref="Y7:AN7"/>
    <mergeCell ref="A1:B6"/>
    <mergeCell ref="C1:AO1"/>
    <mergeCell ref="C2:AO4"/>
    <mergeCell ref="C5:AO6"/>
    <mergeCell ref="A7:B8"/>
    <mergeCell ref="C7:D8"/>
    <mergeCell ref="E7:F8"/>
    <mergeCell ref="G7:H8"/>
    <mergeCell ref="I7:J8"/>
    <mergeCell ref="K7:M8"/>
    <mergeCell ref="AO7:AO9"/>
    <mergeCell ref="N7:Q8"/>
    <mergeCell ref="V7:X8"/>
  </mergeCells>
  <pageMargins left="0.25" right="0.25" top="0.75" bottom="0.75" header="0.3" footer="0.3"/>
  <pageSetup scale="22" fitToHeight="6"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I80"/>
  <sheetViews>
    <sheetView topLeftCell="D1" zoomScale="70" zoomScaleNormal="70" zoomScaleSheetLayoutView="70" workbookViewId="0">
      <pane ySplit="10" topLeftCell="M18" activePane="bottomLeft" state="frozen"/>
      <selection pane="bottomLeft" activeCell="R19" sqref="R19"/>
    </sheetView>
  </sheetViews>
  <sheetFormatPr defaultColWidth="11.42578125" defaultRowHeight="15" customHeight="1"/>
  <cols>
    <col min="1" max="1" width="16.85546875" style="165" customWidth="1"/>
    <col min="2" max="2" width="34.140625" style="165" customWidth="1"/>
    <col min="3" max="3" width="13.7109375" style="165" customWidth="1"/>
    <col min="4" max="4" width="19" style="165" customWidth="1"/>
    <col min="5" max="5" width="12.85546875" style="165" customWidth="1"/>
    <col min="6" max="6" width="17.28515625" style="165" customWidth="1"/>
    <col min="7" max="8" width="19.140625" style="165" customWidth="1"/>
    <col min="9" max="9" width="16.42578125" style="165" customWidth="1"/>
    <col min="10" max="10" width="19" style="165" customWidth="1"/>
    <col min="11" max="11" width="19.28515625" style="165" customWidth="1"/>
    <col min="12" max="12" width="14.140625" style="165" customWidth="1"/>
    <col min="13" max="13" width="14" style="165" customWidth="1"/>
    <col min="14" max="14" width="17.42578125" style="165" customWidth="1"/>
    <col min="15" max="15" width="25.7109375" style="165" customWidth="1"/>
    <col min="16" max="16" width="30.7109375" style="165" customWidth="1"/>
    <col min="17" max="17" width="22.28515625" style="255" customWidth="1"/>
    <col min="18" max="20" width="22" style="165" customWidth="1"/>
    <col min="21" max="21" width="15.7109375" style="165" customWidth="1"/>
    <col min="22" max="22" width="25.42578125" style="165" customWidth="1"/>
    <col min="23" max="23" width="22.28515625" style="165" customWidth="1"/>
    <col min="24" max="24" width="25.42578125" style="165" customWidth="1"/>
    <col min="25" max="25" width="8.42578125" style="165" customWidth="1"/>
    <col min="26" max="26" width="9.7109375" style="165" customWidth="1"/>
    <col min="27" max="27" width="9.28515625" style="165" customWidth="1"/>
    <col min="28" max="28" width="7.42578125" style="165" customWidth="1"/>
    <col min="29" max="29" width="9.42578125" style="165" customWidth="1"/>
    <col min="30" max="30" width="8.42578125" style="165" customWidth="1"/>
    <col min="31" max="31" width="5.28515625" style="165" customWidth="1"/>
    <col min="32" max="32" width="5.42578125" style="165" customWidth="1"/>
    <col min="33" max="33" width="6.7109375" style="165" customWidth="1"/>
    <col min="34" max="34" width="6.42578125" style="165" customWidth="1"/>
    <col min="35" max="35" width="6.28515625" style="165" customWidth="1"/>
    <col min="36" max="36" width="6.42578125" style="165" customWidth="1"/>
    <col min="37" max="37" width="6.7109375" style="165" customWidth="1"/>
    <col min="38" max="38" width="5.7109375" style="165" customWidth="1"/>
    <col min="39" max="39" width="3.85546875" style="165" customWidth="1"/>
    <col min="40" max="40" width="8" style="165" customWidth="1"/>
    <col min="41" max="41" width="14.28515625" style="165" customWidth="1"/>
    <col min="42" max="42" width="14.42578125" style="165" customWidth="1"/>
    <col min="43" max="43" width="15.140625" style="165" customWidth="1"/>
    <col min="44" max="16384" width="11.42578125" style="165"/>
  </cols>
  <sheetData>
    <row r="1" spans="1:61">
      <c r="A1" s="1033"/>
      <c r="B1" s="1033"/>
      <c r="C1" s="1034" t="s">
        <v>0</v>
      </c>
      <c r="D1" s="1034"/>
      <c r="E1" s="1034"/>
      <c r="F1" s="1034"/>
      <c r="G1" s="1034"/>
      <c r="H1" s="1034"/>
      <c r="I1" s="1034"/>
      <c r="J1" s="1034"/>
      <c r="K1" s="1034"/>
      <c r="L1" s="1034"/>
      <c r="M1" s="1034"/>
      <c r="N1" s="1034"/>
      <c r="O1" s="1034"/>
      <c r="P1" s="1034"/>
      <c r="Q1" s="1034"/>
      <c r="R1" s="1034"/>
      <c r="S1" s="1034"/>
      <c r="T1" s="1034"/>
      <c r="U1" s="1034"/>
      <c r="V1" s="1034"/>
      <c r="W1" s="1034"/>
      <c r="X1" s="1034"/>
      <c r="Y1" s="1034"/>
      <c r="Z1" s="1034"/>
      <c r="AA1" s="1034"/>
      <c r="AB1" s="1034"/>
      <c r="AC1" s="1034"/>
      <c r="AD1" s="1034"/>
      <c r="AE1" s="1034"/>
      <c r="AF1" s="1034"/>
      <c r="AG1" s="1034"/>
      <c r="AH1" s="1034"/>
      <c r="AI1" s="1034"/>
      <c r="AJ1" s="1034"/>
      <c r="AK1" s="1034"/>
      <c r="AL1" s="1034"/>
      <c r="AM1" s="1034"/>
      <c r="AN1" s="1034"/>
      <c r="AO1" s="1034"/>
    </row>
    <row r="2" spans="1:61" s="167" customFormat="1" ht="12" customHeight="1">
      <c r="A2" s="1033"/>
      <c r="B2" s="1033"/>
      <c r="C2" s="1035" t="s">
        <v>650</v>
      </c>
      <c r="D2" s="1035"/>
      <c r="E2" s="1035"/>
      <c r="F2" s="1035"/>
      <c r="G2" s="1035"/>
      <c r="H2" s="1035"/>
      <c r="I2" s="1035"/>
      <c r="J2" s="1035"/>
      <c r="K2" s="1035"/>
      <c r="L2" s="1035"/>
      <c r="M2" s="1035"/>
      <c r="N2" s="1035"/>
      <c r="O2" s="1035"/>
      <c r="P2" s="1035"/>
      <c r="Q2" s="1035"/>
      <c r="R2" s="1035"/>
      <c r="S2" s="1035"/>
      <c r="T2" s="1035"/>
      <c r="U2" s="1035"/>
      <c r="V2" s="1035"/>
      <c r="W2" s="1035"/>
      <c r="X2" s="1035"/>
      <c r="Y2" s="1035"/>
      <c r="Z2" s="1035"/>
      <c r="AA2" s="1035"/>
      <c r="AB2" s="1035"/>
      <c r="AC2" s="1035"/>
      <c r="AD2" s="1035"/>
      <c r="AE2" s="1035"/>
      <c r="AF2" s="1035"/>
      <c r="AG2" s="1035"/>
      <c r="AH2" s="1035"/>
      <c r="AI2" s="1035"/>
      <c r="AJ2" s="1035"/>
      <c r="AK2" s="1035"/>
      <c r="AL2" s="1035"/>
      <c r="AM2" s="1035"/>
      <c r="AN2" s="1035"/>
      <c r="AO2" s="1036"/>
      <c r="AP2" s="25" t="s">
        <v>2</v>
      </c>
      <c r="AQ2" s="957" t="s">
        <v>3</v>
      </c>
      <c r="AR2" s="166"/>
      <c r="AS2" s="166"/>
      <c r="AT2" s="166"/>
      <c r="AU2" s="166"/>
      <c r="AV2" s="166"/>
      <c r="AW2" s="166"/>
      <c r="AX2" s="166"/>
      <c r="AY2" s="166"/>
      <c r="AZ2" s="166"/>
      <c r="BA2" s="166"/>
      <c r="BB2" s="166"/>
      <c r="BC2" s="166"/>
      <c r="BD2" s="166"/>
      <c r="BE2" s="166"/>
      <c r="BF2" s="166"/>
      <c r="BG2" s="166"/>
      <c r="BH2" s="166"/>
      <c r="BI2" s="166"/>
    </row>
    <row r="3" spans="1:61" s="167" customFormat="1" ht="14.1" customHeight="1">
      <c r="A3" s="1033"/>
      <c r="B3" s="1033"/>
      <c r="C3" s="1035"/>
      <c r="D3" s="1035"/>
      <c r="E3" s="1035"/>
      <c r="F3" s="1035"/>
      <c r="G3" s="1035"/>
      <c r="H3" s="1035"/>
      <c r="I3" s="1035"/>
      <c r="J3" s="1035"/>
      <c r="K3" s="1035"/>
      <c r="L3" s="1035"/>
      <c r="M3" s="1035"/>
      <c r="N3" s="1035"/>
      <c r="O3" s="1035"/>
      <c r="P3" s="1035"/>
      <c r="Q3" s="1035"/>
      <c r="R3" s="1035"/>
      <c r="S3" s="1035"/>
      <c r="T3" s="1035"/>
      <c r="U3" s="1035"/>
      <c r="V3" s="1035"/>
      <c r="W3" s="1035"/>
      <c r="X3" s="1035"/>
      <c r="Y3" s="1035"/>
      <c r="Z3" s="1035"/>
      <c r="AA3" s="1035"/>
      <c r="AB3" s="1035"/>
      <c r="AC3" s="1035"/>
      <c r="AD3" s="1035"/>
      <c r="AE3" s="1035"/>
      <c r="AF3" s="1035"/>
      <c r="AG3" s="1035"/>
      <c r="AH3" s="1035"/>
      <c r="AI3" s="1035"/>
      <c r="AJ3" s="1035"/>
      <c r="AK3" s="1035"/>
      <c r="AL3" s="1035"/>
      <c r="AM3" s="1035"/>
      <c r="AN3" s="1035"/>
      <c r="AO3" s="1036"/>
      <c r="AP3" s="42" t="s">
        <v>4</v>
      </c>
      <c r="AQ3" s="40">
        <v>14</v>
      </c>
      <c r="AR3" s="166"/>
      <c r="AS3" s="166"/>
      <c r="AT3" s="166"/>
      <c r="AU3" s="166"/>
      <c r="AV3" s="166"/>
      <c r="AW3" s="166"/>
      <c r="AX3" s="166"/>
      <c r="AY3" s="166"/>
      <c r="AZ3" s="166"/>
      <c r="BA3" s="166"/>
      <c r="BB3" s="166"/>
      <c r="BC3" s="166"/>
      <c r="BD3" s="166"/>
      <c r="BE3" s="166"/>
      <c r="BF3" s="166"/>
      <c r="BG3" s="166"/>
      <c r="BH3" s="166"/>
      <c r="BI3" s="166"/>
    </row>
    <row r="4" spans="1:61" s="167" customFormat="1" ht="13.35" customHeight="1">
      <c r="A4" s="1033"/>
      <c r="B4" s="1033"/>
      <c r="C4" s="1035"/>
      <c r="D4" s="1035"/>
      <c r="E4" s="1035"/>
      <c r="F4" s="1035"/>
      <c r="G4" s="1035"/>
      <c r="H4" s="1035"/>
      <c r="I4" s="1035"/>
      <c r="J4" s="1035"/>
      <c r="K4" s="1035"/>
      <c r="L4" s="1035"/>
      <c r="M4" s="1035"/>
      <c r="N4" s="1035"/>
      <c r="O4" s="1035"/>
      <c r="P4" s="1035"/>
      <c r="Q4" s="1035"/>
      <c r="R4" s="1035"/>
      <c r="S4" s="1035"/>
      <c r="T4" s="1035"/>
      <c r="U4" s="1035"/>
      <c r="V4" s="1035"/>
      <c r="W4" s="1035"/>
      <c r="X4" s="1035"/>
      <c r="Y4" s="1035"/>
      <c r="Z4" s="1035"/>
      <c r="AA4" s="1035"/>
      <c r="AB4" s="1035"/>
      <c r="AC4" s="1035"/>
      <c r="AD4" s="1035"/>
      <c r="AE4" s="1035"/>
      <c r="AF4" s="1035"/>
      <c r="AG4" s="1035"/>
      <c r="AH4" s="1035"/>
      <c r="AI4" s="1035"/>
      <c r="AJ4" s="1035"/>
      <c r="AK4" s="1035"/>
      <c r="AL4" s="1035"/>
      <c r="AM4" s="1035"/>
      <c r="AN4" s="1035"/>
      <c r="AO4" s="1036"/>
      <c r="AP4" s="42" t="s">
        <v>5</v>
      </c>
      <c r="AQ4" s="41">
        <v>45884</v>
      </c>
      <c r="AR4" s="166"/>
      <c r="AS4" s="166"/>
      <c r="AT4" s="166"/>
      <c r="AU4" s="166"/>
      <c r="AV4" s="166"/>
      <c r="AW4" s="166"/>
      <c r="AX4" s="166"/>
      <c r="AY4" s="166"/>
      <c r="AZ4" s="166"/>
      <c r="BA4" s="166"/>
      <c r="BB4" s="166"/>
      <c r="BC4" s="166"/>
      <c r="BD4" s="166"/>
      <c r="BE4" s="166"/>
      <c r="BF4" s="166"/>
      <c r="BG4" s="166"/>
      <c r="BH4" s="166"/>
      <c r="BI4" s="166"/>
    </row>
    <row r="5" spans="1:61" s="167" customFormat="1" ht="14.45" customHeight="1">
      <c r="A5" s="1033"/>
      <c r="B5" s="1033"/>
      <c r="C5" s="1037" t="s">
        <v>6</v>
      </c>
      <c r="D5" s="1037"/>
      <c r="E5" s="1037"/>
      <c r="F5" s="1037"/>
      <c r="G5" s="1037"/>
      <c r="H5" s="1037"/>
      <c r="I5" s="1037"/>
      <c r="J5" s="1037"/>
      <c r="K5" s="1037"/>
      <c r="L5" s="1037"/>
      <c r="M5" s="1037"/>
      <c r="N5" s="1037"/>
      <c r="O5" s="1037"/>
      <c r="P5" s="1037"/>
      <c r="Q5" s="1037"/>
      <c r="R5" s="1037"/>
      <c r="S5" s="1037"/>
      <c r="T5" s="1037"/>
      <c r="U5" s="1037"/>
      <c r="V5" s="1037"/>
      <c r="W5" s="1037"/>
      <c r="X5" s="1037"/>
      <c r="Y5" s="1037"/>
      <c r="Z5" s="1037"/>
      <c r="AA5" s="1037"/>
      <c r="AB5" s="1037"/>
      <c r="AC5" s="1037"/>
      <c r="AD5" s="1037"/>
      <c r="AE5" s="1037"/>
      <c r="AF5" s="1037"/>
      <c r="AG5" s="1037"/>
      <c r="AH5" s="1037"/>
      <c r="AI5" s="1037"/>
      <c r="AJ5" s="1037"/>
      <c r="AK5" s="1037"/>
      <c r="AL5" s="1037"/>
      <c r="AM5" s="1037"/>
      <c r="AN5" s="1037"/>
      <c r="AO5" s="1037"/>
      <c r="AP5" s="25" t="s">
        <v>7</v>
      </c>
      <c r="AQ5" s="3" t="s">
        <v>8</v>
      </c>
      <c r="AR5" s="166"/>
      <c r="AS5" s="166"/>
      <c r="AT5" s="166"/>
      <c r="AU5" s="166"/>
      <c r="AV5" s="166"/>
      <c r="AW5" s="166"/>
      <c r="AX5" s="166"/>
      <c r="AY5" s="166"/>
      <c r="AZ5" s="166"/>
      <c r="BA5" s="166"/>
      <c r="BB5" s="166"/>
      <c r="BC5" s="166"/>
      <c r="BD5" s="166"/>
      <c r="BE5" s="166"/>
      <c r="BF5" s="166"/>
      <c r="BG5" s="166"/>
      <c r="BH5" s="166"/>
      <c r="BI5" s="166"/>
    </row>
    <row r="6" spans="1:61" s="167" customFormat="1" ht="4.5" customHeight="1">
      <c r="A6" s="1033"/>
      <c r="B6" s="1033"/>
      <c r="C6" s="1037"/>
      <c r="D6" s="1037"/>
      <c r="E6" s="1037"/>
      <c r="F6" s="1037"/>
      <c r="G6" s="1037"/>
      <c r="H6" s="1037"/>
      <c r="I6" s="1037"/>
      <c r="J6" s="1037"/>
      <c r="K6" s="1037"/>
      <c r="L6" s="1037"/>
      <c r="M6" s="1037"/>
      <c r="N6" s="1037"/>
      <c r="O6" s="1037"/>
      <c r="P6" s="1037"/>
      <c r="Q6" s="1037"/>
      <c r="R6" s="1037"/>
      <c r="S6" s="1037"/>
      <c r="T6" s="1037"/>
      <c r="U6" s="1037"/>
      <c r="V6" s="1037"/>
      <c r="W6" s="1037"/>
      <c r="X6" s="1037"/>
      <c r="Y6" s="1037"/>
      <c r="Z6" s="1037"/>
      <c r="AA6" s="1037"/>
      <c r="AB6" s="1037"/>
      <c r="AC6" s="1037"/>
      <c r="AD6" s="1037"/>
      <c r="AE6" s="1037"/>
      <c r="AF6" s="1037"/>
      <c r="AG6" s="1037"/>
      <c r="AH6" s="1037"/>
      <c r="AI6" s="1037"/>
      <c r="AJ6" s="1037"/>
      <c r="AK6" s="1037"/>
      <c r="AL6" s="1037"/>
      <c r="AM6" s="1037"/>
      <c r="AN6" s="1037"/>
      <c r="AO6" s="1037"/>
      <c r="AP6" s="168"/>
      <c r="AQ6" s="169"/>
      <c r="AR6" s="166"/>
      <c r="AS6" s="166"/>
      <c r="AT6" s="166"/>
      <c r="AU6" s="166"/>
      <c r="AV6" s="166"/>
      <c r="AW6" s="166"/>
      <c r="AX6" s="166"/>
      <c r="AY6" s="166"/>
      <c r="AZ6" s="166"/>
      <c r="BA6" s="166"/>
      <c r="BB6" s="166"/>
      <c r="BC6" s="166"/>
      <c r="BD6" s="166"/>
      <c r="BE6" s="166"/>
      <c r="BF6" s="166"/>
      <c r="BG6" s="166"/>
      <c r="BH6" s="166"/>
      <c r="BI6" s="166"/>
    </row>
    <row r="7" spans="1:61" s="167" customFormat="1" ht="12.75">
      <c r="A7" s="1034"/>
      <c r="B7" s="1034"/>
      <c r="C7" s="170"/>
      <c r="D7" s="170"/>
      <c r="E7" s="170"/>
      <c r="F7" s="170"/>
      <c r="G7" s="170"/>
      <c r="H7" s="170"/>
      <c r="I7" s="170"/>
      <c r="J7" s="170"/>
      <c r="K7" s="171"/>
      <c r="L7" s="171"/>
      <c r="M7" s="171"/>
      <c r="N7" s="170"/>
      <c r="O7" s="170"/>
      <c r="P7" s="170"/>
      <c r="Q7" s="172"/>
      <c r="R7" s="170"/>
      <c r="S7" s="170"/>
      <c r="T7" s="170"/>
      <c r="U7" s="170"/>
      <c r="V7" s="170"/>
      <c r="W7" s="170"/>
      <c r="X7" s="170"/>
      <c r="Y7" s="170"/>
      <c r="Z7" s="170"/>
      <c r="AA7" s="170"/>
      <c r="AB7" s="170"/>
      <c r="AC7" s="170"/>
      <c r="AD7" s="170"/>
      <c r="AE7" s="170"/>
      <c r="AF7" s="170"/>
      <c r="AG7" s="170"/>
      <c r="AH7" s="170"/>
      <c r="AI7" s="170"/>
      <c r="AJ7" s="170"/>
      <c r="AK7" s="170"/>
      <c r="AL7" s="170"/>
      <c r="AM7" s="170"/>
      <c r="AN7" s="170"/>
      <c r="AO7" s="170"/>
      <c r="AP7" s="170"/>
      <c r="AQ7" s="173"/>
      <c r="AR7" s="166"/>
      <c r="AS7" s="166"/>
      <c r="AT7" s="166"/>
      <c r="AU7" s="166"/>
      <c r="AV7" s="166"/>
      <c r="AW7" s="166"/>
      <c r="AX7" s="166"/>
      <c r="AY7" s="166"/>
      <c r="AZ7" s="166"/>
      <c r="BA7" s="166"/>
      <c r="BB7" s="166"/>
      <c r="BC7" s="166"/>
      <c r="BD7" s="166"/>
      <c r="BE7" s="166"/>
      <c r="BF7" s="166"/>
      <c r="BG7" s="166"/>
      <c r="BH7" s="166"/>
      <c r="BI7" s="166"/>
    </row>
    <row r="8" spans="1:61" ht="18" customHeight="1">
      <c r="A8" s="1006" t="s">
        <v>9</v>
      </c>
      <c r="B8" s="1007"/>
      <c r="C8" s="1006" t="s">
        <v>10</v>
      </c>
      <c r="D8" s="1010"/>
      <c r="E8" s="1006" t="s">
        <v>11</v>
      </c>
      <c r="F8" s="1010"/>
      <c r="G8" s="1006" t="s">
        <v>12</v>
      </c>
      <c r="H8" s="1010"/>
      <c r="I8" s="1038" t="s">
        <v>13</v>
      </c>
      <c r="J8" s="1038"/>
      <c r="K8" s="1040" t="s">
        <v>14</v>
      </c>
      <c r="L8" s="1040"/>
      <c r="M8" s="1040"/>
      <c r="N8" s="1015" t="s">
        <v>15</v>
      </c>
      <c r="O8" s="1015"/>
      <c r="P8" s="1015"/>
      <c r="Q8" s="1015"/>
      <c r="R8" s="958"/>
      <c r="S8" s="958"/>
      <c r="T8" s="958"/>
      <c r="U8" s="958"/>
      <c r="V8" s="174"/>
      <c r="W8" s="174"/>
      <c r="X8" s="175"/>
      <c r="Y8" s="1049" t="s">
        <v>16</v>
      </c>
      <c r="Z8" s="1050"/>
      <c r="AA8" s="1050"/>
      <c r="AB8" s="1050"/>
      <c r="AC8" s="1050"/>
      <c r="AD8" s="1050"/>
      <c r="AE8" s="1050"/>
      <c r="AF8" s="1050"/>
      <c r="AG8" s="1050"/>
      <c r="AH8" s="1050"/>
      <c r="AI8" s="1050"/>
      <c r="AJ8" s="1050"/>
      <c r="AK8" s="1050"/>
      <c r="AL8" s="1050"/>
      <c r="AM8" s="1050"/>
      <c r="AN8" s="1051"/>
      <c r="AO8" s="987" t="s">
        <v>17</v>
      </c>
      <c r="AP8" s="987" t="s">
        <v>18</v>
      </c>
      <c r="AQ8" s="987" t="s">
        <v>19</v>
      </c>
    </row>
    <row r="9" spans="1:61" s="9" customFormat="1" ht="14.25" customHeight="1">
      <c r="A9" s="1008"/>
      <c r="B9" s="1009"/>
      <c r="C9" s="1008"/>
      <c r="D9" s="1011"/>
      <c r="E9" s="1008"/>
      <c r="F9" s="1011"/>
      <c r="G9" s="1008"/>
      <c r="H9" s="1011"/>
      <c r="I9" s="1039"/>
      <c r="J9" s="1039"/>
      <c r="K9" s="1040"/>
      <c r="L9" s="1040"/>
      <c r="M9" s="1040"/>
      <c r="N9" s="1016"/>
      <c r="O9" s="1016"/>
      <c r="P9" s="1016"/>
      <c r="Q9" s="1016"/>
      <c r="R9" s="959"/>
      <c r="S9" s="959"/>
      <c r="T9" s="959"/>
      <c r="U9" s="959"/>
      <c r="V9" s="990" t="s">
        <v>20</v>
      </c>
      <c r="W9" s="991"/>
      <c r="X9" s="992"/>
      <c r="Y9" s="993" t="s">
        <v>21</v>
      </c>
      <c r="Z9" s="994"/>
      <c r="AA9" s="995" t="s">
        <v>22</v>
      </c>
      <c r="AB9" s="994"/>
      <c r="AC9" s="994"/>
      <c r="AD9" s="994"/>
      <c r="AE9" s="996" t="s">
        <v>23</v>
      </c>
      <c r="AF9" s="994"/>
      <c r="AG9" s="994"/>
      <c r="AH9" s="994"/>
      <c r="AI9" s="994"/>
      <c r="AJ9" s="994"/>
      <c r="AK9" s="995" t="s">
        <v>24</v>
      </c>
      <c r="AL9" s="994"/>
      <c r="AM9" s="994"/>
      <c r="AN9" s="997" t="s">
        <v>25</v>
      </c>
      <c r="AO9" s="988"/>
      <c r="AP9" s="988"/>
      <c r="AQ9" s="988"/>
      <c r="AR9" s="8"/>
      <c r="AS9" s="8"/>
      <c r="AT9" s="8"/>
      <c r="AU9" s="8"/>
      <c r="AV9" s="8"/>
      <c r="AW9" s="8"/>
      <c r="AX9" s="8"/>
      <c r="AY9" s="8"/>
      <c r="AZ9" s="8"/>
      <c r="BA9" s="8"/>
      <c r="BB9" s="8"/>
      <c r="BC9" s="8"/>
      <c r="BD9" s="8"/>
      <c r="BE9" s="8"/>
      <c r="BF9" s="8"/>
    </row>
    <row r="10" spans="1:61" s="16" customFormat="1" ht="41.25" customHeight="1">
      <c r="A10" s="10" t="s">
        <v>26</v>
      </c>
      <c r="B10" s="10" t="s">
        <v>27</v>
      </c>
      <c r="C10" s="10" t="s">
        <v>28</v>
      </c>
      <c r="D10" s="11" t="s">
        <v>29</v>
      </c>
      <c r="E10" s="11" t="s">
        <v>28</v>
      </c>
      <c r="F10" s="11" t="s">
        <v>29</v>
      </c>
      <c r="G10" s="12" t="s">
        <v>26</v>
      </c>
      <c r="H10" s="12" t="s">
        <v>29</v>
      </c>
      <c r="I10" s="12" t="s">
        <v>26</v>
      </c>
      <c r="J10" s="12" t="s">
        <v>31</v>
      </c>
      <c r="K10" s="39" t="s">
        <v>32</v>
      </c>
      <c r="L10" s="39" t="s">
        <v>651</v>
      </c>
      <c r="M10" s="39" t="s">
        <v>511</v>
      </c>
      <c r="N10" s="12" t="s">
        <v>34</v>
      </c>
      <c r="O10" s="12" t="s">
        <v>35</v>
      </c>
      <c r="P10" s="11" t="s">
        <v>36</v>
      </c>
      <c r="Q10" s="176" t="s">
        <v>37</v>
      </c>
      <c r="R10" s="177" t="s">
        <v>38</v>
      </c>
      <c r="S10" s="177" t="s">
        <v>39</v>
      </c>
      <c r="T10" s="177" t="s">
        <v>40</v>
      </c>
      <c r="U10" s="13" t="s">
        <v>41</v>
      </c>
      <c r="V10" s="10" t="s">
        <v>42</v>
      </c>
      <c r="W10" s="11" t="s">
        <v>26</v>
      </c>
      <c r="X10" s="11" t="s">
        <v>27</v>
      </c>
      <c r="Y10" s="14" t="s">
        <v>43</v>
      </c>
      <c r="Z10" s="15" t="s">
        <v>44</v>
      </c>
      <c r="AA10" s="14" t="s">
        <v>45</v>
      </c>
      <c r="AB10" s="14" t="s">
        <v>46</v>
      </c>
      <c r="AC10" s="14" t="s">
        <v>47</v>
      </c>
      <c r="AD10" s="14" t="s">
        <v>48</v>
      </c>
      <c r="AE10" s="14" t="s">
        <v>49</v>
      </c>
      <c r="AF10" s="14" t="s">
        <v>50</v>
      </c>
      <c r="AG10" s="14" t="s">
        <v>51</v>
      </c>
      <c r="AH10" s="14" t="s">
        <v>52</v>
      </c>
      <c r="AI10" s="14" t="s">
        <v>53</v>
      </c>
      <c r="AJ10" s="14" t="s">
        <v>54</v>
      </c>
      <c r="AK10" s="14" t="s">
        <v>55</v>
      </c>
      <c r="AL10" s="14" t="s">
        <v>56</v>
      </c>
      <c r="AM10" s="14" t="s">
        <v>57</v>
      </c>
      <c r="AN10" s="997"/>
      <c r="AO10" s="989"/>
      <c r="AP10" s="989"/>
      <c r="AQ10" s="989"/>
      <c r="AR10" s="8"/>
      <c r="AS10" s="8"/>
      <c r="AT10" s="8"/>
      <c r="AU10" s="8"/>
      <c r="AV10" s="8"/>
      <c r="AW10" s="8"/>
      <c r="AX10" s="8"/>
      <c r="AY10" s="8"/>
      <c r="AZ10" s="8"/>
      <c r="BA10" s="8"/>
      <c r="BB10" s="8"/>
      <c r="BC10" s="8"/>
      <c r="BD10" s="8"/>
      <c r="BE10" s="8"/>
      <c r="BF10" s="8"/>
    </row>
    <row r="11" spans="1:61" s="697" customFormat="1" ht="95.25" customHeight="1">
      <c r="A11" s="688">
        <v>2</v>
      </c>
      <c r="B11" s="688" t="s">
        <v>326</v>
      </c>
      <c r="C11" s="689">
        <v>17</v>
      </c>
      <c r="D11" s="688" t="s">
        <v>652</v>
      </c>
      <c r="E11" s="689">
        <v>1702</v>
      </c>
      <c r="F11" s="689" t="s">
        <v>653</v>
      </c>
      <c r="G11" s="689">
        <v>1702007</v>
      </c>
      <c r="H11" s="689" t="s">
        <v>654</v>
      </c>
      <c r="I11" s="689">
        <v>170200700</v>
      </c>
      <c r="J11" s="689" t="s">
        <v>655</v>
      </c>
      <c r="K11" s="690">
        <v>6</v>
      </c>
      <c r="L11" s="690">
        <v>1</v>
      </c>
      <c r="M11" s="690">
        <f t="shared" ref="M11:M61" si="0">+K11+L11</f>
        <v>7</v>
      </c>
      <c r="N11" s="691">
        <v>2024003630052</v>
      </c>
      <c r="O11" s="688" t="s">
        <v>656</v>
      </c>
      <c r="P11" s="235" t="s">
        <v>657</v>
      </c>
      <c r="Q11" s="178">
        <v>170000000</v>
      </c>
      <c r="R11" s="179">
        <f>93330000</f>
        <v>93330000</v>
      </c>
      <c r="S11" s="179"/>
      <c r="T11" s="179"/>
      <c r="U11" s="180"/>
      <c r="V11" s="692" t="s">
        <v>658</v>
      </c>
      <c r="W11" s="693">
        <v>20</v>
      </c>
      <c r="X11" s="693" t="s">
        <v>659</v>
      </c>
      <c r="Y11" s="693">
        <v>725</v>
      </c>
      <c r="Z11" s="693">
        <v>675</v>
      </c>
      <c r="AA11" s="693">
        <v>0</v>
      </c>
      <c r="AB11" s="693">
        <v>280</v>
      </c>
      <c r="AC11" s="693">
        <v>1080</v>
      </c>
      <c r="AD11" s="693">
        <v>40</v>
      </c>
      <c r="AE11" s="694">
        <v>24</v>
      </c>
      <c r="AF11" s="694">
        <v>5</v>
      </c>
      <c r="AG11" s="694">
        <v>0</v>
      </c>
      <c r="AH11" s="694">
        <v>0</v>
      </c>
      <c r="AI11" s="694">
        <v>0</v>
      </c>
      <c r="AJ11" s="694">
        <v>0</v>
      </c>
      <c r="AK11" s="694">
        <v>0</v>
      </c>
      <c r="AL11" s="694">
        <v>0</v>
      </c>
      <c r="AM11" s="694">
        <v>67</v>
      </c>
      <c r="AN11" s="695">
        <v>1400</v>
      </c>
      <c r="AO11" s="696">
        <v>46023</v>
      </c>
      <c r="AP11" s="696">
        <v>46387</v>
      </c>
      <c r="AQ11" s="235" t="s">
        <v>660</v>
      </c>
    </row>
    <row r="12" spans="1:61" s="697" customFormat="1" ht="120.75" customHeight="1">
      <c r="A12" s="688">
        <v>2</v>
      </c>
      <c r="B12" s="688" t="s">
        <v>326</v>
      </c>
      <c r="C12" s="689">
        <v>17</v>
      </c>
      <c r="D12" s="688" t="s">
        <v>652</v>
      </c>
      <c r="E12" s="689">
        <v>1702</v>
      </c>
      <c r="F12" s="689" t="s">
        <v>653</v>
      </c>
      <c r="G12" s="689">
        <v>1702007</v>
      </c>
      <c r="H12" s="689" t="s">
        <v>654</v>
      </c>
      <c r="I12" s="689">
        <v>170200700</v>
      </c>
      <c r="J12" s="689" t="s">
        <v>655</v>
      </c>
      <c r="K12" s="690">
        <v>6</v>
      </c>
      <c r="L12" s="690">
        <v>1</v>
      </c>
      <c r="M12" s="690">
        <f t="shared" si="0"/>
        <v>7</v>
      </c>
      <c r="N12" s="691">
        <v>2024003630052</v>
      </c>
      <c r="O12" s="688" t="s">
        <v>656</v>
      </c>
      <c r="P12" s="235" t="s">
        <v>661</v>
      </c>
      <c r="Q12" s="181">
        <v>5000000</v>
      </c>
      <c r="R12" s="179"/>
      <c r="S12" s="179"/>
      <c r="T12" s="179"/>
      <c r="U12" s="180"/>
      <c r="V12" s="698" t="s">
        <v>658</v>
      </c>
      <c r="W12" s="693">
        <v>20</v>
      </c>
      <c r="X12" s="693" t="s">
        <v>659</v>
      </c>
      <c r="Y12" s="693">
        <v>725</v>
      </c>
      <c r="Z12" s="693">
        <v>675</v>
      </c>
      <c r="AA12" s="693">
        <v>0</v>
      </c>
      <c r="AB12" s="693">
        <v>280</v>
      </c>
      <c r="AC12" s="693">
        <v>1080</v>
      </c>
      <c r="AD12" s="693">
        <v>40</v>
      </c>
      <c r="AE12" s="694">
        <v>24</v>
      </c>
      <c r="AF12" s="694">
        <v>5</v>
      </c>
      <c r="AG12" s="694">
        <v>0</v>
      </c>
      <c r="AH12" s="694">
        <v>0</v>
      </c>
      <c r="AI12" s="694">
        <v>0</v>
      </c>
      <c r="AJ12" s="694">
        <v>0</v>
      </c>
      <c r="AK12" s="694">
        <v>0</v>
      </c>
      <c r="AL12" s="694">
        <v>0</v>
      </c>
      <c r="AM12" s="694">
        <v>67</v>
      </c>
      <c r="AN12" s="695">
        <v>1400</v>
      </c>
      <c r="AO12" s="696">
        <v>46023</v>
      </c>
      <c r="AP12" s="696">
        <v>46387</v>
      </c>
      <c r="AQ12" s="235" t="s">
        <v>660</v>
      </c>
    </row>
    <row r="13" spans="1:61" s="697" customFormat="1" ht="102" customHeight="1">
      <c r="A13" s="688">
        <v>2</v>
      </c>
      <c r="B13" s="688" t="s">
        <v>326</v>
      </c>
      <c r="C13" s="689">
        <v>17</v>
      </c>
      <c r="D13" s="688" t="s">
        <v>652</v>
      </c>
      <c r="E13" s="689">
        <v>1702</v>
      </c>
      <c r="F13" s="689" t="s">
        <v>653</v>
      </c>
      <c r="G13" s="689">
        <v>1702007</v>
      </c>
      <c r="H13" s="689" t="s">
        <v>654</v>
      </c>
      <c r="I13" s="689">
        <v>170200700</v>
      </c>
      <c r="J13" s="689" t="s">
        <v>655</v>
      </c>
      <c r="K13" s="690">
        <v>6</v>
      </c>
      <c r="L13" s="690">
        <v>1</v>
      </c>
      <c r="M13" s="690">
        <f t="shared" si="0"/>
        <v>7</v>
      </c>
      <c r="N13" s="691">
        <v>2024003630052</v>
      </c>
      <c r="O13" s="688" t="s">
        <v>656</v>
      </c>
      <c r="P13" s="693" t="s">
        <v>662</v>
      </c>
      <c r="Q13" s="178">
        <v>15000000</v>
      </c>
      <c r="R13" s="179"/>
      <c r="S13" s="179"/>
      <c r="T13" s="179"/>
      <c r="U13" s="180"/>
      <c r="V13" s="698" t="s">
        <v>663</v>
      </c>
      <c r="W13" s="693">
        <v>20</v>
      </c>
      <c r="X13" s="693" t="s">
        <v>659</v>
      </c>
      <c r="Y13" s="693">
        <v>725</v>
      </c>
      <c r="Z13" s="693">
        <v>675</v>
      </c>
      <c r="AA13" s="693">
        <v>0</v>
      </c>
      <c r="AB13" s="693">
        <v>280</v>
      </c>
      <c r="AC13" s="693">
        <v>1080</v>
      </c>
      <c r="AD13" s="693">
        <v>40</v>
      </c>
      <c r="AE13" s="694">
        <v>24</v>
      </c>
      <c r="AF13" s="694">
        <v>5</v>
      </c>
      <c r="AG13" s="694">
        <v>0</v>
      </c>
      <c r="AH13" s="694">
        <v>0</v>
      </c>
      <c r="AI13" s="694">
        <v>0</v>
      </c>
      <c r="AJ13" s="694">
        <v>0</v>
      </c>
      <c r="AK13" s="694">
        <v>0</v>
      </c>
      <c r="AL13" s="694">
        <v>0</v>
      </c>
      <c r="AM13" s="694">
        <v>67</v>
      </c>
      <c r="AN13" s="695">
        <v>1400</v>
      </c>
      <c r="AO13" s="696">
        <v>46023</v>
      </c>
      <c r="AP13" s="696">
        <v>46387</v>
      </c>
      <c r="AQ13" s="235" t="s">
        <v>660</v>
      </c>
    </row>
    <row r="14" spans="1:61" s="697" customFormat="1" ht="87.75" customHeight="1">
      <c r="A14" s="688">
        <v>2</v>
      </c>
      <c r="B14" s="688" t="s">
        <v>326</v>
      </c>
      <c r="C14" s="689">
        <v>17</v>
      </c>
      <c r="D14" s="688" t="s">
        <v>652</v>
      </c>
      <c r="E14" s="689">
        <v>1702</v>
      </c>
      <c r="F14" s="689" t="s">
        <v>653</v>
      </c>
      <c r="G14" s="689">
        <v>1702009</v>
      </c>
      <c r="H14" s="689" t="s">
        <v>664</v>
      </c>
      <c r="I14" s="689">
        <v>170200900</v>
      </c>
      <c r="J14" s="689" t="s">
        <v>665</v>
      </c>
      <c r="K14" s="690">
        <v>200</v>
      </c>
      <c r="L14" s="690"/>
      <c r="M14" s="690">
        <f t="shared" si="0"/>
        <v>200</v>
      </c>
      <c r="N14" s="691">
        <v>2024003630052</v>
      </c>
      <c r="O14" s="688" t="s">
        <v>656</v>
      </c>
      <c r="P14" s="235" t="s">
        <v>666</v>
      </c>
      <c r="Q14" s="182">
        <v>80000000</v>
      </c>
      <c r="R14" s="183"/>
      <c r="S14" s="183"/>
      <c r="T14" s="183"/>
      <c r="U14" s="184"/>
      <c r="V14" s="699" t="s">
        <v>667</v>
      </c>
      <c r="W14" s="693">
        <v>20</v>
      </c>
      <c r="X14" s="693" t="s">
        <v>659</v>
      </c>
      <c r="Y14" s="700">
        <v>725</v>
      </c>
      <c r="Z14" s="700">
        <v>675</v>
      </c>
      <c r="AA14" s="700">
        <v>0</v>
      </c>
      <c r="AB14" s="700">
        <v>280</v>
      </c>
      <c r="AC14" s="700">
        <v>1080</v>
      </c>
      <c r="AD14" s="700">
        <v>40</v>
      </c>
      <c r="AE14" s="700">
        <v>24</v>
      </c>
      <c r="AF14" s="700">
        <v>5</v>
      </c>
      <c r="AG14" s="700">
        <v>0</v>
      </c>
      <c r="AH14" s="700">
        <v>0</v>
      </c>
      <c r="AI14" s="700">
        <v>0</v>
      </c>
      <c r="AJ14" s="700">
        <v>0</v>
      </c>
      <c r="AK14" s="700">
        <v>0</v>
      </c>
      <c r="AL14" s="700">
        <v>0</v>
      </c>
      <c r="AM14" s="700">
        <v>67</v>
      </c>
      <c r="AN14" s="693">
        <v>1400</v>
      </c>
      <c r="AO14" s="696">
        <v>46023</v>
      </c>
      <c r="AP14" s="696">
        <v>46387</v>
      </c>
      <c r="AQ14" s="235" t="s">
        <v>660</v>
      </c>
    </row>
    <row r="15" spans="1:61" s="697" customFormat="1" ht="76.5">
      <c r="A15" s="688">
        <v>2</v>
      </c>
      <c r="B15" s="688" t="s">
        <v>326</v>
      </c>
      <c r="C15" s="689">
        <v>17</v>
      </c>
      <c r="D15" s="688" t="s">
        <v>652</v>
      </c>
      <c r="E15" s="689">
        <v>1702</v>
      </c>
      <c r="F15" s="689" t="s">
        <v>653</v>
      </c>
      <c r="G15" s="689">
        <v>1702011</v>
      </c>
      <c r="H15" s="689" t="s">
        <v>668</v>
      </c>
      <c r="I15" s="689">
        <v>170201100</v>
      </c>
      <c r="J15" s="689" t="s">
        <v>669</v>
      </c>
      <c r="K15" s="690">
        <v>40</v>
      </c>
      <c r="L15" s="690"/>
      <c r="M15" s="690">
        <f t="shared" si="0"/>
        <v>40</v>
      </c>
      <c r="N15" s="691">
        <v>2024003630052</v>
      </c>
      <c r="O15" s="688" t="s">
        <v>656</v>
      </c>
      <c r="P15" s="235" t="s">
        <v>670</v>
      </c>
      <c r="Q15" s="185">
        <f>400000000-Q16-Q17</f>
        <v>385722000</v>
      </c>
      <c r="R15" s="186">
        <f>14800000+16000000+5500000+7400000+16000000+6000000+14800000+14800000+7400000</f>
        <v>102700000</v>
      </c>
      <c r="S15" s="186"/>
      <c r="T15" s="179"/>
      <c r="U15" s="187"/>
      <c r="V15" s="701" t="s">
        <v>671</v>
      </c>
      <c r="W15" s="702">
        <v>20</v>
      </c>
      <c r="X15" s="693" t="s">
        <v>659</v>
      </c>
      <c r="Y15" s="693">
        <v>725</v>
      </c>
      <c r="Z15" s="693">
        <v>675</v>
      </c>
      <c r="AA15" s="693">
        <v>0</v>
      </c>
      <c r="AB15" s="693">
        <v>280</v>
      </c>
      <c r="AC15" s="693">
        <v>1080</v>
      </c>
      <c r="AD15" s="693">
        <v>40</v>
      </c>
      <c r="AE15" s="693">
        <v>24</v>
      </c>
      <c r="AF15" s="693">
        <v>5</v>
      </c>
      <c r="AG15" s="693">
        <v>0</v>
      </c>
      <c r="AH15" s="693">
        <v>0</v>
      </c>
      <c r="AI15" s="693">
        <v>0</v>
      </c>
      <c r="AJ15" s="693">
        <v>0</v>
      </c>
      <c r="AK15" s="693">
        <v>0</v>
      </c>
      <c r="AL15" s="693">
        <v>0</v>
      </c>
      <c r="AM15" s="693">
        <v>67</v>
      </c>
      <c r="AN15" s="693">
        <v>1400</v>
      </c>
      <c r="AO15" s="696">
        <v>46023</v>
      </c>
      <c r="AP15" s="696">
        <v>46387</v>
      </c>
      <c r="AQ15" s="235" t="s">
        <v>660</v>
      </c>
    </row>
    <row r="16" spans="1:61" s="697" customFormat="1" ht="75">
      <c r="A16" s="688">
        <v>2</v>
      </c>
      <c r="B16" s="688" t="s">
        <v>326</v>
      </c>
      <c r="C16" s="689">
        <v>17</v>
      </c>
      <c r="D16" s="688" t="s">
        <v>652</v>
      </c>
      <c r="E16" s="689">
        <v>1702</v>
      </c>
      <c r="F16" s="689" t="s">
        <v>653</v>
      </c>
      <c r="G16" s="689">
        <v>1702011</v>
      </c>
      <c r="H16" s="689" t="s">
        <v>668</v>
      </c>
      <c r="I16" s="689">
        <v>170201100</v>
      </c>
      <c r="J16" s="689" t="s">
        <v>669</v>
      </c>
      <c r="K16" s="690">
        <v>40</v>
      </c>
      <c r="L16" s="690"/>
      <c r="M16" s="690">
        <f t="shared" si="0"/>
        <v>40</v>
      </c>
      <c r="N16" s="691">
        <v>2024003630052</v>
      </c>
      <c r="O16" s="688" t="s">
        <v>656</v>
      </c>
      <c r="P16" s="235" t="s">
        <v>672</v>
      </c>
      <c r="Q16" s="188">
        <v>9278000</v>
      </c>
      <c r="R16" s="179"/>
      <c r="S16" s="186"/>
      <c r="T16" s="189"/>
      <c r="U16" s="190"/>
      <c r="V16" s="703" t="s">
        <v>673</v>
      </c>
      <c r="W16" s="702">
        <v>20</v>
      </c>
      <c r="X16" s="693" t="s">
        <v>659</v>
      </c>
      <c r="Y16" s="693">
        <v>725</v>
      </c>
      <c r="Z16" s="693">
        <v>675</v>
      </c>
      <c r="AA16" s="693">
        <v>0</v>
      </c>
      <c r="AB16" s="693">
        <v>280</v>
      </c>
      <c r="AC16" s="693">
        <v>1080</v>
      </c>
      <c r="AD16" s="693">
        <v>40</v>
      </c>
      <c r="AE16" s="693">
        <v>24</v>
      </c>
      <c r="AF16" s="693">
        <v>5</v>
      </c>
      <c r="AG16" s="693">
        <v>0</v>
      </c>
      <c r="AH16" s="693">
        <v>0</v>
      </c>
      <c r="AI16" s="693">
        <v>0</v>
      </c>
      <c r="AJ16" s="693">
        <v>0</v>
      </c>
      <c r="AK16" s="693">
        <v>0</v>
      </c>
      <c r="AL16" s="693">
        <v>0</v>
      </c>
      <c r="AM16" s="693">
        <v>67</v>
      </c>
      <c r="AN16" s="693">
        <v>1400</v>
      </c>
      <c r="AO16" s="696">
        <v>46023</v>
      </c>
      <c r="AP16" s="696">
        <v>46387</v>
      </c>
      <c r="AQ16" s="235" t="s">
        <v>660</v>
      </c>
    </row>
    <row r="17" spans="1:43" s="697" customFormat="1" ht="105">
      <c r="A17" s="688">
        <v>2</v>
      </c>
      <c r="B17" s="688" t="s">
        <v>326</v>
      </c>
      <c r="C17" s="689">
        <v>17</v>
      </c>
      <c r="D17" s="688" t="s">
        <v>652</v>
      </c>
      <c r="E17" s="689">
        <v>1702</v>
      </c>
      <c r="F17" s="689" t="s">
        <v>653</v>
      </c>
      <c r="G17" s="689">
        <v>1702011</v>
      </c>
      <c r="H17" s="689" t="s">
        <v>668</v>
      </c>
      <c r="I17" s="689">
        <v>170201100</v>
      </c>
      <c r="J17" s="689" t="s">
        <v>669</v>
      </c>
      <c r="K17" s="690">
        <v>40</v>
      </c>
      <c r="L17" s="690"/>
      <c r="M17" s="690">
        <f t="shared" si="0"/>
        <v>40</v>
      </c>
      <c r="N17" s="691">
        <v>2024003630052</v>
      </c>
      <c r="O17" s="688" t="s">
        <v>656</v>
      </c>
      <c r="P17" s="235" t="s">
        <v>674</v>
      </c>
      <c r="Q17" s="191">
        <v>5000000</v>
      </c>
      <c r="R17" s="704"/>
      <c r="S17" s="192"/>
      <c r="T17" s="189"/>
      <c r="U17" s="193"/>
      <c r="V17" s="703" t="s">
        <v>675</v>
      </c>
      <c r="W17" s="702">
        <v>20</v>
      </c>
      <c r="X17" s="693" t="s">
        <v>659</v>
      </c>
      <c r="Y17" s="693">
        <v>725</v>
      </c>
      <c r="Z17" s="693">
        <v>675</v>
      </c>
      <c r="AA17" s="693">
        <v>0</v>
      </c>
      <c r="AB17" s="693">
        <v>280</v>
      </c>
      <c r="AC17" s="693">
        <v>1080</v>
      </c>
      <c r="AD17" s="693">
        <v>40</v>
      </c>
      <c r="AE17" s="693">
        <v>24</v>
      </c>
      <c r="AF17" s="693">
        <v>5</v>
      </c>
      <c r="AG17" s="693">
        <v>0</v>
      </c>
      <c r="AH17" s="693">
        <v>0</v>
      </c>
      <c r="AI17" s="693">
        <v>0</v>
      </c>
      <c r="AJ17" s="693">
        <v>0</v>
      </c>
      <c r="AK17" s="693">
        <v>0</v>
      </c>
      <c r="AL17" s="693">
        <v>0</v>
      </c>
      <c r="AM17" s="693">
        <v>67</v>
      </c>
      <c r="AN17" s="693">
        <v>1400</v>
      </c>
      <c r="AO17" s="696">
        <v>46023</v>
      </c>
      <c r="AP17" s="696">
        <v>46387</v>
      </c>
      <c r="AQ17" s="235" t="s">
        <v>660</v>
      </c>
    </row>
    <row r="18" spans="1:43" s="697" customFormat="1" ht="126.75" customHeight="1">
      <c r="A18" s="688">
        <v>2</v>
      </c>
      <c r="B18" s="688" t="s">
        <v>326</v>
      </c>
      <c r="C18" s="689">
        <v>17</v>
      </c>
      <c r="D18" s="688" t="s">
        <v>652</v>
      </c>
      <c r="E18" s="689">
        <v>1702</v>
      </c>
      <c r="F18" s="689" t="s">
        <v>653</v>
      </c>
      <c r="G18" s="689">
        <v>1702038</v>
      </c>
      <c r="H18" s="689" t="s">
        <v>676</v>
      </c>
      <c r="I18" s="689">
        <v>170203800</v>
      </c>
      <c r="J18" s="689" t="s">
        <v>677</v>
      </c>
      <c r="K18" s="690">
        <v>40</v>
      </c>
      <c r="L18" s="690"/>
      <c r="M18" s="690">
        <f t="shared" si="0"/>
        <v>40</v>
      </c>
      <c r="N18" s="691">
        <v>2024003630070</v>
      </c>
      <c r="O18" s="194" t="s">
        <v>678</v>
      </c>
      <c r="P18" s="705" t="s">
        <v>679</v>
      </c>
      <c r="Q18" s="182">
        <f>280000000-Q19-Q20-Q21</f>
        <v>225000000</v>
      </c>
      <c r="R18" s="195">
        <f>20000000+7400000+6000000+7400000+7400000</f>
        <v>48200000</v>
      </c>
      <c r="S18" s="196"/>
      <c r="T18" s="197"/>
      <c r="U18" s="198"/>
      <c r="V18" s="706" t="s">
        <v>680</v>
      </c>
      <c r="W18" s="693">
        <v>20</v>
      </c>
      <c r="X18" s="693" t="s">
        <v>659</v>
      </c>
      <c r="Y18" s="693">
        <v>725</v>
      </c>
      <c r="Z18" s="693">
        <v>675</v>
      </c>
      <c r="AA18" s="693">
        <v>0</v>
      </c>
      <c r="AB18" s="693">
        <v>280</v>
      </c>
      <c r="AC18" s="693">
        <v>1080</v>
      </c>
      <c r="AD18" s="693">
        <v>40</v>
      </c>
      <c r="AE18" s="693">
        <v>24</v>
      </c>
      <c r="AF18" s="693">
        <v>5</v>
      </c>
      <c r="AG18" s="693">
        <v>0</v>
      </c>
      <c r="AH18" s="693">
        <v>0</v>
      </c>
      <c r="AI18" s="693">
        <v>0</v>
      </c>
      <c r="AJ18" s="693">
        <v>0</v>
      </c>
      <c r="AK18" s="693">
        <v>0</v>
      </c>
      <c r="AL18" s="693">
        <v>0</v>
      </c>
      <c r="AM18" s="693">
        <v>67</v>
      </c>
      <c r="AN18" s="693">
        <v>1400</v>
      </c>
      <c r="AO18" s="696">
        <v>46023</v>
      </c>
      <c r="AP18" s="696">
        <v>46387</v>
      </c>
      <c r="AQ18" s="235" t="s">
        <v>660</v>
      </c>
    </row>
    <row r="19" spans="1:43" s="697" customFormat="1" ht="120">
      <c r="A19" s="688">
        <v>2</v>
      </c>
      <c r="B19" s="688" t="s">
        <v>326</v>
      </c>
      <c r="C19" s="689">
        <v>17</v>
      </c>
      <c r="D19" s="688" t="s">
        <v>652</v>
      </c>
      <c r="E19" s="689">
        <v>1702</v>
      </c>
      <c r="F19" s="689" t="s">
        <v>653</v>
      </c>
      <c r="G19" s="689">
        <v>1702038</v>
      </c>
      <c r="H19" s="689" t="s">
        <v>676</v>
      </c>
      <c r="I19" s="689">
        <v>170203800</v>
      </c>
      <c r="J19" s="689" t="s">
        <v>677</v>
      </c>
      <c r="K19" s="690">
        <v>40</v>
      </c>
      <c r="L19" s="690"/>
      <c r="M19" s="690">
        <f t="shared" si="0"/>
        <v>40</v>
      </c>
      <c r="N19" s="691">
        <v>2024003630070</v>
      </c>
      <c r="O19" s="194" t="s">
        <v>678</v>
      </c>
      <c r="P19" s="705" t="s">
        <v>681</v>
      </c>
      <c r="Q19" s="199">
        <v>5000000</v>
      </c>
      <c r="R19" s="200"/>
      <c r="S19" s="201"/>
      <c r="T19" s="202"/>
      <c r="U19" s="190"/>
      <c r="V19" s="707" t="s">
        <v>682</v>
      </c>
      <c r="W19" s="693">
        <v>20</v>
      </c>
      <c r="X19" s="693" t="s">
        <v>659</v>
      </c>
      <c r="Y19" s="693">
        <v>725</v>
      </c>
      <c r="Z19" s="693">
        <v>675</v>
      </c>
      <c r="AA19" s="693">
        <v>0</v>
      </c>
      <c r="AB19" s="693">
        <v>280</v>
      </c>
      <c r="AC19" s="693">
        <v>1080</v>
      </c>
      <c r="AD19" s="693">
        <v>40</v>
      </c>
      <c r="AE19" s="693">
        <v>24</v>
      </c>
      <c r="AF19" s="693">
        <v>5</v>
      </c>
      <c r="AG19" s="693">
        <v>0</v>
      </c>
      <c r="AH19" s="693">
        <v>0</v>
      </c>
      <c r="AI19" s="693">
        <v>0</v>
      </c>
      <c r="AJ19" s="693">
        <v>0</v>
      </c>
      <c r="AK19" s="693">
        <v>0</v>
      </c>
      <c r="AL19" s="693">
        <v>0</v>
      </c>
      <c r="AM19" s="693">
        <v>67</v>
      </c>
      <c r="AN19" s="693">
        <v>1400</v>
      </c>
      <c r="AO19" s="696">
        <v>46023</v>
      </c>
      <c r="AP19" s="696">
        <v>46387</v>
      </c>
      <c r="AQ19" s="235" t="s">
        <v>660</v>
      </c>
    </row>
    <row r="20" spans="1:43" s="697" customFormat="1" ht="135">
      <c r="A20" s="688">
        <v>2</v>
      </c>
      <c r="B20" s="688" t="s">
        <v>326</v>
      </c>
      <c r="C20" s="689">
        <v>17</v>
      </c>
      <c r="D20" s="688" t="s">
        <v>652</v>
      </c>
      <c r="E20" s="689">
        <v>1702</v>
      </c>
      <c r="F20" s="689" t="s">
        <v>653</v>
      </c>
      <c r="G20" s="689">
        <v>1702038</v>
      </c>
      <c r="H20" s="689" t="s">
        <v>676</v>
      </c>
      <c r="I20" s="689">
        <v>170203800</v>
      </c>
      <c r="J20" s="689" t="s">
        <v>677</v>
      </c>
      <c r="K20" s="690">
        <v>40</v>
      </c>
      <c r="L20" s="690"/>
      <c r="M20" s="690">
        <f t="shared" si="0"/>
        <v>40</v>
      </c>
      <c r="N20" s="691">
        <v>2024003630070</v>
      </c>
      <c r="O20" s="194" t="s">
        <v>678</v>
      </c>
      <c r="P20" s="708" t="s">
        <v>683</v>
      </c>
      <c r="Q20" s="182">
        <v>40000000</v>
      </c>
      <c r="R20" s="197"/>
      <c r="S20" s="203"/>
      <c r="T20" s="196"/>
      <c r="U20" s="190"/>
      <c r="V20" s="707" t="s">
        <v>684</v>
      </c>
      <c r="W20" s="693">
        <v>20</v>
      </c>
      <c r="X20" s="693" t="s">
        <v>659</v>
      </c>
      <c r="Y20" s="693">
        <v>725</v>
      </c>
      <c r="Z20" s="693">
        <v>675</v>
      </c>
      <c r="AA20" s="693">
        <v>0</v>
      </c>
      <c r="AB20" s="693">
        <v>280</v>
      </c>
      <c r="AC20" s="693">
        <v>1080</v>
      </c>
      <c r="AD20" s="693">
        <v>40</v>
      </c>
      <c r="AE20" s="693">
        <v>24</v>
      </c>
      <c r="AF20" s="693">
        <v>5</v>
      </c>
      <c r="AG20" s="693">
        <v>0</v>
      </c>
      <c r="AH20" s="693">
        <v>0</v>
      </c>
      <c r="AI20" s="693">
        <v>0</v>
      </c>
      <c r="AJ20" s="693">
        <v>0</v>
      </c>
      <c r="AK20" s="693">
        <v>0</v>
      </c>
      <c r="AL20" s="693">
        <v>0</v>
      </c>
      <c r="AM20" s="693">
        <v>67</v>
      </c>
      <c r="AN20" s="693">
        <v>1400</v>
      </c>
      <c r="AO20" s="696">
        <v>46023</v>
      </c>
      <c r="AP20" s="696">
        <v>46387</v>
      </c>
      <c r="AQ20" s="235" t="s">
        <v>660</v>
      </c>
    </row>
    <row r="21" spans="1:43" s="697" customFormat="1" ht="120">
      <c r="A21" s="688">
        <v>2</v>
      </c>
      <c r="B21" s="688" t="s">
        <v>326</v>
      </c>
      <c r="C21" s="689">
        <v>17</v>
      </c>
      <c r="D21" s="688" t="s">
        <v>652</v>
      </c>
      <c r="E21" s="689">
        <v>1702</v>
      </c>
      <c r="F21" s="689" t="s">
        <v>653</v>
      </c>
      <c r="G21" s="689">
        <v>1702038</v>
      </c>
      <c r="H21" s="689" t="s">
        <v>676</v>
      </c>
      <c r="I21" s="689">
        <v>170203800</v>
      </c>
      <c r="J21" s="689" t="s">
        <v>677</v>
      </c>
      <c r="K21" s="690">
        <v>40</v>
      </c>
      <c r="L21" s="690"/>
      <c r="M21" s="690">
        <f t="shared" si="0"/>
        <v>40</v>
      </c>
      <c r="N21" s="691">
        <v>2024003630070</v>
      </c>
      <c r="O21" s="194" t="s">
        <v>678</v>
      </c>
      <c r="P21" s="705" t="s">
        <v>685</v>
      </c>
      <c r="Q21" s="182">
        <v>10000000</v>
      </c>
      <c r="R21" s="197"/>
      <c r="S21" s="203"/>
      <c r="T21" s="196"/>
      <c r="U21" s="190"/>
      <c r="V21" s="707" t="s">
        <v>686</v>
      </c>
      <c r="W21" s="693">
        <v>20</v>
      </c>
      <c r="X21" s="693" t="s">
        <v>659</v>
      </c>
      <c r="Y21" s="693">
        <v>725</v>
      </c>
      <c r="Z21" s="693">
        <v>675</v>
      </c>
      <c r="AA21" s="693">
        <v>0</v>
      </c>
      <c r="AB21" s="693">
        <v>280</v>
      </c>
      <c r="AC21" s="693">
        <v>1080</v>
      </c>
      <c r="AD21" s="693">
        <v>40</v>
      </c>
      <c r="AE21" s="693">
        <v>24</v>
      </c>
      <c r="AF21" s="693">
        <v>5</v>
      </c>
      <c r="AG21" s="693">
        <v>0</v>
      </c>
      <c r="AH21" s="693">
        <v>0</v>
      </c>
      <c r="AI21" s="693">
        <v>0</v>
      </c>
      <c r="AJ21" s="693">
        <v>0</v>
      </c>
      <c r="AK21" s="693">
        <v>0</v>
      </c>
      <c r="AL21" s="693">
        <v>0</v>
      </c>
      <c r="AM21" s="693">
        <v>67</v>
      </c>
      <c r="AN21" s="693">
        <v>1400</v>
      </c>
      <c r="AO21" s="696">
        <v>46023</v>
      </c>
      <c r="AP21" s="696">
        <v>46387</v>
      </c>
      <c r="AQ21" s="235" t="s">
        <v>660</v>
      </c>
    </row>
    <row r="22" spans="1:43" s="697" customFormat="1" ht="110.25" customHeight="1">
      <c r="A22" s="688">
        <v>2</v>
      </c>
      <c r="B22" s="688" t="s">
        <v>326</v>
      </c>
      <c r="C22" s="689">
        <v>17</v>
      </c>
      <c r="D22" s="688" t="s">
        <v>652</v>
      </c>
      <c r="E22" s="689">
        <v>1702</v>
      </c>
      <c r="F22" s="689" t="s">
        <v>653</v>
      </c>
      <c r="G22" s="689">
        <v>1702038</v>
      </c>
      <c r="H22" s="689" t="s">
        <v>676</v>
      </c>
      <c r="I22" s="689">
        <v>170203801</v>
      </c>
      <c r="J22" s="689" t="s">
        <v>687</v>
      </c>
      <c r="K22" s="689">
        <v>100</v>
      </c>
      <c r="L22" s="689"/>
      <c r="M22" s="690">
        <f t="shared" si="0"/>
        <v>100</v>
      </c>
      <c r="N22" s="691">
        <v>2024003630070</v>
      </c>
      <c r="O22" s="194" t="s">
        <v>678</v>
      </c>
      <c r="P22" s="705" t="s">
        <v>688</v>
      </c>
      <c r="Q22" s="182">
        <v>50000000</v>
      </c>
      <c r="R22" s="204"/>
      <c r="S22" s="205"/>
      <c r="T22" s="205"/>
      <c r="U22" s="206"/>
      <c r="V22" s="701" t="s">
        <v>686</v>
      </c>
      <c r="W22" s="702">
        <v>20</v>
      </c>
      <c r="X22" s="693" t="s">
        <v>659</v>
      </c>
      <c r="Y22" s="693">
        <v>725</v>
      </c>
      <c r="Z22" s="693">
        <v>675</v>
      </c>
      <c r="AA22" s="693">
        <v>0</v>
      </c>
      <c r="AB22" s="693">
        <v>280</v>
      </c>
      <c r="AC22" s="693">
        <v>1080</v>
      </c>
      <c r="AD22" s="693">
        <v>40</v>
      </c>
      <c r="AE22" s="693">
        <v>24</v>
      </c>
      <c r="AF22" s="693">
        <v>5</v>
      </c>
      <c r="AG22" s="693">
        <v>0</v>
      </c>
      <c r="AH22" s="693">
        <v>0</v>
      </c>
      <c r="AI22" s="693">
        <v>0</v>
      </c>
      <c r="AJ22" s="693">
        <v>0</v>
      </c>
      <c r="AK22" s="693">
        <v>0</v>
      </c>
      <c r="AL22" s="693">
        <v>0</v>
      </c>
      <c r="AM22" s="693">
        <v>67</v>
      </c>
      <c r="AN22" s="693">
        <v>1400</v>
      </c>
      <c r="AO22" s="696">
        <v>46023</v>
      </c>
      <c r="AP22" s="696">
        <v>46387</v>
      </c>
      <c r="AQ22" s="235" t="s">
        <v>660</v>
      </c>
    </row>
    <row r="23" spans="1:43" s="697" customFormat="1" ht="125.25" customHeight="1">
      <c r="A23" s="688">
        <v>2</v>
      </c>
      <c r="B23" s="688" t="s">
        <v>326</v>
      </c>
      <c r="C23" s="689">
        <v>17</v>
      </c>
      <c r="D23" s="688" t="s">
        <v>652</v>
      </c>
      <c r="E23" s="689">
        <v>1702</v>
      </c>
      <c r="F23" s="689" t="s">
        <v>653</v>
      </c>
      <c r="G23" s="689">
        <v>1702038</v>
      </c>
      <c r="H23" s="689" t="s">
        <v>676</v>
      </c>
      <c r="I23" s="689">
        <v>170203801</v>
      </c>
      <c r="J23" s="689" t="s">
        <v>687</v>
      </c>
      <c r="K23" s="689">
        <v>100</v>
      </c>
      <c r="L23" s="689"/>
      <c r="M23" s="690">
        <f t="shared" si="0"/>
        <v>100</v>
      </c>
      <c r="N23" s="691">
        <v>2024003630070</v>
      </c>
      <c r="O23" s="194" t="s">
        <v>678</v>
      </c>
      <c r="P23" s="705" t="s">
        <v>689</v>
      </c>
      <c r="Q23" s="207">
        <v>50000000</v>
      </c>
      <c r="R23" s="709"/>
      <c r="S23" s="179"/>
      <c r="T23" s="179"/>
      <c r="U23" s="190"/>
      <c r="V23" s="701" t="s">
        <v>690</v>
      </c>
      <c r="W23" s="702">
        <v>20</v>
      </c>
      <c r="X23" s="693" t="s">
        <v>659</v>
      </c>
      <c r="Y23" s="693">
        <v>725</v>
      </c>
      <c r="Z23" s="693">
        <v>675</v>
      </c>
      <c r="AA23" s="693">
        <v>0</v>
      </c>
      <c r="AB23" s="693">
        <v>280</v>
      </c>
      <c r="AC23" s="693">
        <v>1080</v>
      </c>
      <c r="AD23" s="693">
        <v>40</v>
      </c>
      <c r="AE23" s="693">
        <v>24</v>
      </c>
      <c r="AF23" s="693">
        <v>5</v>
      </c>
      <c r="AG23" s="693">
        <v>0</v>
      </c>
      <c r="AH23" s="693">
        <v>0</v>
      </c>
      <c r="AI23" s="693">
        <v>0</v>
      </c>
      <c r="AJ23" s="693">
        <v>0</v>
      </c>
      <c r="AK23" s="693">
        <v>0</v>
      </c>
      <c r="AL23" s="693">
        <v>0</v>
      </c>
      <c r="AM23" s="693">
        <v>67</v>
      </c>
      <c r="AN23" s="693">
        <v>1400</v>
      </c>
      <c r="AO23" s="696">
        <v>46023</v>
      </c>
      <c r="AP23" s="696">
        <v>46387</v>
      </c>
      <c r="AQ23" s="235" t="s">
        <v>660</v>
      </c>
    </row>
    <row r="24" spans="1:43" s="697" customFormat="1" ht="105">
      <c r="A24" s="688">
        <v>2</v>
      </c>
      <c r="B24" s="688" t="s">
        <v>691</v>
      </c>
      <c r="C24" s="689">
        <v>17</v>
      </c>
      <c r="D24" s="688" t="s">
        <v>652</v>
      </c>
      <c r="E24" s="689">
        <v>1702</v>
      </c>
      <c r="F24" s="689" t="s">
        <v>653</v>
      </c>
      <c r="G24" s="689">
        <v>1702041</v>
      </c>
      <c r="H24" s="689" t="s">
        <v>220</v>
      </c>
      <c r="I24" s="689">
        <v>170204100</v>
      </c>
      <c r="J24" s="710" t="s">
        <v>692</v>
      </c>
      <c r="K24" s="690">
        <v>4</v>
      </c>
      <c r="L24" s="690"/>
      <c r="M24" s="690">
        <f t="shared" si="0"/>
        <v>4</v>
      </c>
      <c r="N24" s="691">
        <v>2024003630109</v>
      </c>
      <c r="O24" s="194" t="s">
        <v>693</v>
      </c>
      <c r="P24" s="235" t="s">
        <v>694</v>
      </c>
      <c r="Q24" s="208">
        <v>40000000</v>
      </c>
      <c r="R24" s="209">
        <f>14800000+6000000</f>
        <v>20800000</v>
      </c>
      <c r="S24" s="209"/>
      <c r="T24" s="209"/>
      <c r="U24" s="210"/>
      <c r="V24" s="700" t="s">
        <v>695</v>
      </c>
      <c r="W24" s="693">
        <v>20</v>
      </c>
      <c r="X24" s="693" t="s">
        <v>659</v>
      </c>
      <c r="Y24" s="693">
        <v>35360</v>
      </c>
      <c r="Z24" s="693">
        <v>32903</v>
      </c>
      <c r="AA24" s="693">
        <v>12083</v>
      </c>
      <c r="AB24" s="693">
        <v>2669</v>
      </c>
      <c r="AC24" s="693">
        <v>44767</v>
      </c>
      <c r="AD24" s="693">
        <v>8744</v>
      </c>
      <c r="AE24" s="693">
        <v>1160</v>
      </c>
      <c r="AF24" s="693">
        <v>260</v>
      </c>
      <c r="AG24" s="693">
        <v>0</v>
      </c>
      <c r="AH24" s="693">
        <v>0</v>
      </c>
      <c r="AI24" s="693">
        <v>0</v>
      </c>
      <c r="AJ24" s="693">
        <v>0</v>
      </c>
      <c r="AK24" s="693">
        <v>0</v>
      </c>
      <c r="AL24" s="693">
        <v>1984</v>
      </c>
      <c r="AM24" s="693"/>
      <c r="AN24" s="693">
        <v>68263</v>
      </c>
      <c r="AO24" s="696">
        <v>46023</v>
      </c>
      <c r="AP24" s="696">
        <v>46387</v>
      </c>
      <c r="AQ24" s="235" t="s">
        <v>660</v>
      </c>
    </row>
    <row r="25" spans="1:43" s="697" customFormat="1" ht="97.5" customHeight="1">
      <c r="A25" s="688">
        <v>2</v>
      </c>
      <c r="B25" s="688" t="s">
        <v>691</v>
      </c>
      <c r="C25" s="689">
        <v>17</v>
      </c>
      <c r="D25" s="688" t="s">
        <v>652</v>
      </c>
      <c r="E25" s="689">
        <v>1702</v>
      </c>
      <c r="F25" s="689" t="s">
        <v>653</v>
      </c>
      <c r="G25" s="689">
        <v>1702024</v>
      </c>
      <c r="H25" s="689" t="s">
        <v>696</v>
      </c>
      <c r="I25" s="689">
        <v>170202400</v>
      </c>
      <c r="J25" s="689" t="s">
        <v>697</v>
      </c>
      <c r="K25" s="690">
        <v>12</v>
      </c>
      <c r="L25" s="690"/>
      <c r="M25" s="690">
        <f t="shared" si="0"/>
        <v>12</v>
      </c>
      <c r="N25" s="691">
        <v>2024003630109</v>
      </c>
      <c r="O25" s="194" t="s">
        <v>693</v>
      </c>
      <c r="P25" s="235" t="s">
        <v>698</v>
      </c>
      <c r="Q25" s="211">
        <v>90000000</v>
      </c>
      <c r="R25" s="212">
        <f>6000000+14400000+4000000</f>
        <v>24400000</v>
      </c>
      <c r="S25" s="212"/>
      <c r="T25" s="212"/>
      <c r="U25" s="213"/>
      <c r="V25" s="693" t="s">
        <v>699</v>
      </c>
      <c r="W25" s="693">
        <v>20</v>
      </c>
      <c r="X25" s="693" t="s">
        <v>659</v>
      </c>
      <c r="Y25" s="693">
        <v>35360</v>
      </c>
      <c r="Z25" s="693">
        <v>32903</v>
      </c>
      <c r="AA25" s="693">
        <v>12083</v>
      </c>
      <c r="AB25" s="693">
        <v>2669</v>
      </c>
      <c r="AC25" s="693">
        <v>44767</v>
      </c>
      <c r="AD25" s="693">
        <v>8744</v>
      </c>
      <c r="AE25" s="693">
        <v>1160</v>
      </c>
      <c r="AF25" s="693">
        <v>260</v>
      </c>
      <c r="AG25" s="693">
        <v>0</v>
      </c>
      <c r="AH25" s="693">
        <v>0</v>
      </c>
      <c r="AI25" s="693">
        <v>0</v>
      </c>
      <c r="AJ25" s="693">
        <v>0</v>
      </c>
      <c r="AK25" s="693">
        <v>0</v>
      </c>
      <c r="AL25" s="693">
        <v>1984</v>
      </c>
      <c r="AM25" s="693"/>
      <c r="AN25" s="693">
        <v>68263</v>
      </c>
      <c r="AO25" s="696">
        <v>46023</v>
      </c>
      <c r="AP25" s="696">
        <v>46387</v>
      </c>
      <c r="AQ25" s="235" t="s">
        <v>660</v>
      </c>
    </row>
    <row r="26" spans="1:43" s="697" customFormat="1" ht="106.5">
      <c r="A26" s="688">
        <v>2</v>
      </c>
      <c r="B26" s="688" t="s">
        <v>691</v>
      </c>
      <c r="C26" s="689">
        <v>17</v>
      </c>
      <c r="D26" s="688" t="s">
        <v>652</v>
      </c>
      <c r="E26" s="689">
        <v>1702</v>
      </c>
      <c r="F26" s="689" t="s">
        <v>653</v>
      </c>
      <c r="G26" s="689">
        <v>1702025</v>
      </c>
      <c r="H26" s="689" t="s">
        <v>700</v>
      </c>
      <c r="I26" s="689">
        <v>170202500</v>
      </c>
      <c r="J26" s="689" t="s">
        <v>701</v>
      </c>
      <c r="K26" s="689">
        <v>17</v>
      </c>
      <c r="L26" s="689"/>
      <c r="M26" s="689">
        <f t="shared" si="0"/>
        <v>17</v>
      </c>
      <c r="N26" s="691">
        <v>2024003630047</v>
      </c>
      <c r="O26" s="194" t="s">
        <v>702</v>
      </c>
      <c r="P26" s="235" t="s">
        <v>703</v>
      </c>
      <c r="Q26" s="211">
        <v>100000000</v>
      </c>
      <c r="R26" s="212">
        <f>14800000+5600000+16000000</f>
        <v>36400000</v>
      </c>
      <c r="S26" s="212"/>
      <c r="T26" s="212"/>
      <c r="U26" s="213"/>
      <c r="V26" s="693" t="s">
        <v>704</v>
      </c>
      <c r="W26" s="693">
        <v>20</v>
      </c>
      <c r="X26" s="693" t="s">
        <v>659</v>
      </c>
      <c r="Y26" s="693">
        <v>725</v>
      </c>
      <c r="Z26" s="693">
        <v>675</v>
      </c>
      <c r="AA26" s="693">
        <v>0</v>
      </c>
      <c r="AB26" s="693">
        <v>280</v>
      </c>
      <c r="AC26" s="693">
        <v>1080</v>
      </c>
      <c r="AD26" s="693">
        <v>40</v>
      </c>
      <c r="AE26" s="693">
        <v>24</v>
      </c>
      <c r="AF26" s="693">
        <v>5</v>
      </c>
      <c r="AG26" s="693">
        <v>0</v>
      </c>
      <c r="AH26" s="693">
        <v>0</v>
      </c>
      <c r="AI26" s="693">
        <v>0</v>
      </c>
      <c r="AJ26" s="693">
        <v>0</v>
      </c>
      <c r="AK26" s="693">
        <v>0</v>
      </c>
      <c r="AL26" s="693">
        <v>0</v>
      </c>
      <c r="AM26" s="693">
        <v>67</v>
      </c>
      <c r="AN26" s="693">
        <v>1400</v>
      </c>
      <c r="AO26" s="696">
        <v>46023</v>
      </c>
      <c r="AP26" s="696">
        <v>46387</v>
      </c>
      <c r="AQ26" s="235" t="s">
        <v>660</v>
      </c>
    </row>
    <row r="27" spans="1:43" s="697" customFormat="1" ht="120">
      <c r="A27" s="688">
        <v>2</v>
      </c>
      <c r="B27" s="688" t="s">
        <v>691</v>
      </c>
      <c r="C27" s="689">
        <v>17</v>
      </c>
      <c r="D27" s="688" t="s">
        <v>652</v>
      </c>
      <c r="E27" s="689">
        <v>1703</v>
      </c>
      <c r="F27" s="689" t="s">
        <v>705</v>
      </c>
      <c r="G27" s="689">
        <v>1703013</v>
      </c>
      <c r="H27" s="689" t="s">
        <v>706</v>
      </c>
      <c r="I27" s="689">
        <v>170301300</v>
      </c>
      <c r="J27" s="689" t="s">
        <v>707</v>
      </c>
      <c r="K27" s="693">
        <v>100</v>
      </c>
      <c r="L27" s="693">
        <v>35</v>
      </c>
      <c r="M27" s="693">
        <f t="shared" si="0"/>
        <v>135</v>
      </c>
      <c r="N27" s="691">
        <v>2024003630096</v>
      </c>
      <c r="O27" s="194" t="s">
        <v>708</v>
      </c>
      <c r="P27" s="235" t="s">
        <v>709</v>
      </c>
      <c r="Q27" s="211">
        <v>60000000</v>
      </c>
      <c r="R27" s="212"/>
      <c r="S27" s="212"/>
      <c r="T27" s="212"/>
      <c r="U27" s="213"/>
      <c r="V27" s="693" t="s">
        <v>710</v>
      </c>
      <c r="W27" s="693">
        <v>20</v>
      </c>
      <c r="X27" s="693" t="s">
        <v>659</v>
      </c>
      <c r="Y27" s="693">
        <v>111</v>
      </c>
      <c r="Z27" s="693">
        <v>136</v>
      </c>
      <c r="AA27" s="693"/>
      <c r="AB27" s="693"/>
      <c r="AC27" s="693">
        <v>247</v>
      </c>
      <c r="AD27" s="693">
        <v>0</v>
      </c>
      <c r="AE27" s="693">
        <v>0</v>
      </c>
      <c r="AF27" s="693">
        <v>0</v>
      </c>
      <c r="AG27" s="693">
        <v>0</v>
      </c>
      <c r="AH27" s="693">
        <v>0</v>
      </c>
      <c r="AI27" s="693">
        <v>0</v>
      </c>
      <c r="AJ27" s="693">
        <v>0</v>
      </c>
      <c r="AK27" s="693">
        <v>0</v>
      </c>
      <c r="AL27" s="693"/>
      <c r="AM27" s="693"/>
      <c r="AN27" s="693">
        <v>247</v>
      </c>
      <c r="AO27" s="696">
        <v>46023</v>
      </c>
      <c r="AP27" s="696">
        <v>46387</v>
      </c>
      <c r="AQ27" s="235" t="s">
        <v>660</v>
      </c>
    </row>
    <row r="28" spans="1:43" s="697" customFormat="1" ht="121.5">
      <c r="A28" s="688">
        <v>2</v>
      </c>
      <c r="B28" s="688" t="s">
        <v>691</v>
      </c>
      <c r="C28" s="689">
        <v>17</v>
      </c>
      <c r="D28" s="688" t="s">
        <v>711</v>
      </c>
      <c r="E28" s="689">
        <v>1706</v>
      </c>
      <c r="F28" s="689" t="s">
        <v>712</v>
      </c>
      <c r="G28" s="689">
        <v>1706004</v>
      </c>
      <c r="H28" s="689" t="s">
        <v>713</v>
      </c>
      <c r="I28" s="689">
        <v>170600400</v>
      </c>
      <c r="J28" s="689" t="s">
        <v>714</v>
      </c>
      <c r="K28" s="693">
        <v>10</v>
      </c>
      <c r="L28" s="693"/>
      <c r="M28" s="693">
        <f t="shared" si="0"/>
        <v>10</v>
      </c>
      <c r="N28" s="691">
        <v>2024003630059</v>
      </c>
      <c r="O28" s="194" t="s">
        <v>715</v>
      </c>
      <c r="P28" s="235" t="s">
        <v>716</v>
      </c>
      <c r="Q28" s="211">
        <f>110000000-Q29-Q30</f>
        <v>90000000</v>
      </c>
      <c r="R28" s="212">
        <v>36000000</v>
      </c>
      <c r="S28" s="212"/>
      <c r="T28" s="214"/>
      <c r="U28" s="213"/>
      <c r="V28" s="693" t="s">
        <v>717</v>
      </c>
      <c r="W28" s="693">
        <v>20</v>
      </c>
      <c r="X28" s="693" t="s">
        <v>659</v>
      </c>
      <c r="Y28" s="693">
        <v>725</v>
      </c>
      <c r="Z28" s="693">
        <v>675</v>
      </c>
      <c r="AA28" s="693">
        <v>0</v>
      </c>
      <c r="AB28" s="693">
        <v>280</v>
      </c>
      <c r="AC28" s="693">
        <v>1080</v>
      </c>
      <c r="AD28" s="693">
        <v>40</v>
      </c>
      <c r="AE28" s="693">
        <v>24</v>
      </c>
      <c r="AF28" s="693">
        <v>5</v>
      </c>
      <c r="AG28" s="693">
        <v>0</v>
      </c>
      <c r="AH28" s="693">
        <v>0</v>
      </c>
      <c r="AI28" s="693">
        <v>0</v>
      </c>
      <c r="AJ28" s="693">
        <v>0</v>
      </c>
      <c r="AK28" s="693">
        <v>0</v>
      </c>
      <c r="AL28" s="693">
        <v>0</v>
      </c>
      <c r="AM28" s="693">
        <v>67</v>
      </c>
      <c r="AN28" s="693">
        <v>1400</v>
      </c>
      <c r="AO28" s="696">
        <v>46023</v>
      </c>
      <c r="AP28" s="696">
        <v>46387</v>
      </c>
      <c r="AQ28" s="235" t="s">
        <v>660</v>
      </c>
    </row>
    <row r="29" spans="1:43" s="697" customFormat="1" ht="90">
      <c r="A29" s="688">
        <v>2</v>
      </c>
      <c r="B29" s="688" t="s">
        <v>691</v>
      </c>
      <c r="C29" s="689">
        <v>17</v>
      </c>
      <c r="D29" s="688" t="s">
        <v>711</v>
      </c>
      <c r="E29" s="689">
        <v>1706</v>
      </c>
      <c r="F29" s="689" t="s">
        <v>712</v>
      </c>
      <c r="G29" s="689">
        <v>1706004</v>
      </c>
      <c r="H29" s="689" t="s">
        <v>713</v>
      </c>
      <c r="I29" s="689">
        <v>170600400</v>
      </c>
      <c r="J29" s="689" t="s">
        <v>714</v>
      </c>
      <c r="K29" s="693">
        <v>10</v>
      </c>
      <c r="L29" s="693"/>
      <c r="M29" s="693">
        <f t="shared" si="0"/>
        <v>10</v>
      </c>
      <c r="N29" s="691">
        <v>2024003630059</v>
      </c>
      <c r="O29" s="194" t="s">
        <v>715</v>
      </c>
      <c r="P29" s="235" t="s">
        <v>718</v>
      </c>
      <c r="Q29" s="211">
        <v>10000000</v>
      </c>
      <c r="R29" s="212"/>
      <c r="S29" s="212"/>
      <c r="T29" s="214"/>
      <c r="U29" s="213"/>
      <c r="V29" s="693" t="s">
        <v>719</v>
      </c>
      <c r="W29" s="693">
        <v>20</v>
      </c>
      <c r="X29" s="693" t="s">
        <v>659</v>
      </c>
      <c r="Y29" s="693">
        <v>725</v>
      </c>
      <c r="Z29" s="693">
        <v>675</v>
      </c>
      <c r="AA29" s="693">
        <v>0</v>
      </c>
      <c r="AB29" s="693">
        <v>280</v>
      </c>
      <c r="AC29" s="693">
        <v>1080</v>
      </c>
      <c r="AD29" s="693">
        <v>40</v>
      </c>
      <c r="AE29" s="693">
        <v>24</v>
      </c>
      <c r="AF29" s="693">
        <v>5</v>
      </c>
      <c r="AG29" s="693">
        <v>0</v>
      </c>
      <c r="AH29" s="693">
        <v>0</v>
      </c>
      <c r="AI29" s="693">
        <v>0</v>
      </c>
      <c r="AJ29" s="693">
        <v>0</v>
      </c>
      <c r="AK29" s="693">
        <v>0</v>
      </c>
      <c r="AL29" s="693">
        <v>0</v>
      </c>
      <c r="AM29" s="693">
        <v>67</v>
      </c>
      <c r="AN29" s="693">
        <v>1400</v>
      </c>
      <c r="AO29" s="696">
        <v>46023</v>
      </c>
      <c r="AP29" s="696">
        <v>46387</v>
      </c>
      <c r="AQ29" s="235" t="s">
        <v>660</v>
      </c>
    </row>
    <row r="30" spans="1:43" s="697" customFormat="1" ht="105">
      <c r="A30" s="688">
        <v>2</v>
      </c>
      <c r="B30" s="688" t="s">
        <v>691</v>
      </c>
      <c r="C30" s="689">
        <v>17</v>
      </c>
      <c r="D30" s="688" t="s">
        <v>711</v>
      </c>
      <c r="E30" s="689">
        <v>1706</v>
      </c>
      <c r="F30" s="689" t="s">
        <v>712</v>
      </c>
      <c r="G30" s="689">
        <v>1706004</v>
      </c>
      <c r="H30" s="689" t="s">
        <v>713</v>
      </c>
      <c r="I30" s="689">
        <v>170600400</v>
      </c>
      <c r="J30" s="689" t="s">
        <v>714</v>
      </c>
      <c r="K30" s="693">
        <v>10</v>
      </c>
      <c r="L30" s="693"/>
      <c r="M30" s="693">
        <f t="shared" si="0"/>
        <v>10</v>
      </c>
      <c r="N30" s="691">
        <v>2024003630059</v>
      </c>
      <c r="O30" s="194" t="s">
        <v>715</v>
      </c>
      <c r="P30" s="235" t="s">
        <v>720</v>
      </c>
      <c r="Q30" s="211">
        <v>10000000</v>
      </c>
      <c r="R30" s="212"/>
      <c r="S30" s="212"/>
      <c r="T30" s="214"/>
      <c r="U30" s="213"/>
      <c r="V30" s="693" t="s">
        <v>721</v>
      </c>
      <c r="W30" s="693">
        <v>20</v>
      </c>
      <c r="X30" s="693" t="s">
        <v>659</v>
      </c>
      <c r="Y30" s="693">
        <v>725</v>
      </c>
      <c r="Z30" s="693">
        <v>675</v>
      </c>
      <c r="AA30" s="693">
        <v>0</v>
      </c>
      <c r="AB30" s="693">
        <v>280</v>
      </c>
      <c r="AC30" s="693">
        <v>1080</v>
      </c>
      <c r="AD30" s="693">
        <v>40</v>
      </c>
      <c r="AE30" s="693">
        <v>24</v>
      </c>
      <c r="AF30" s="693">
        <v>5</v>
      </c>
      <c r="AG30" s="693">
        <v>0</v>
      </c>
      <c r="AH30" s="693">
        <v>0</v>
      </c>
      <c r="AI30" s="693">
        <v>0</v>
      </c>
      <c r="AJ30" s="693">
        <v>0</v>
      </c>
      <c r="AK30" s="693">
        <v>0</v>
      </c>
      <c r="AL30" s="693">
        <v>0</v>
      </c>
      <c r="AM30" s="693">
        <v>67</v>
      </c>
      <c r="AN30" s="693">
        <v>1400</v>
      </c>
      <c r="AO30" s="696">
        <v>46023</v>
      </c>
      <c r="AP30" s="696">
        <v>46387</v>
      </c>
      <c r="AQ30" s="235" t="s">
        <v>660</v>
      </c>
    </row>
    <row r="31" spans="1:43" s="697" customFormat="1" ht="76.5">
      <c r="A31" s="688">
        <v>2</v>
      </c>
      <c r="B31" s="688" t="s">
        <v>691</v>
      </c>
      <c r="C31" s="689">
        <v>17</v>
      </c>
      <c r="D31" s="688" t="s">
        <v>652</v>
      </c>
      <c r="E31" s="689">
        <v>1707</v>
      </c>
      <c r="F31" s="689" t="s">
        <v>722</v>
      </c>
      <c r="G31" s="689">
        <v>1707069</v>
      </c>
      <c r="H31" s="689" t="s">
        <v>723</v>
      </c>
      <c r="I31" s="689">
        <v>170706900</v>
      </c>
      <c r="J31" s="689" t="s">
        <v>724</v>
      </c>
      <c r="K31" s="693">
        <v>10</v>
      </c>
      <c r="L31" s="693"/>
      <c r="M31" s="693">
        <f t="shared" si="0"/>
        <v>10</v>
      </c>
      <c r="N31" s="691">
        <v>2024003630093</v>
      </c>
      <c r="O31" s="194" t="s">
        <v>725</v>
      </c>
      <c r="P31" s="235" t="s">
        <v>726</v>
      </c>
      <c r="Q31" s="211">
        <v>145000000</v>
      </c>
      <c r="R31" s="212">
        <f>6000000+5000000+20000000</f>
        <v>31000000</v>
      </c>
      <c r="S31" s="212"/>
      <c r="T31" s="212"/>
      <c r="U31" s="213"/>
      <c r="V31" s="693" t="s">
        <v>727</v>
      </c>
      <c r="W31" s="693">
        <v>20</v>
      </c>
      <c r="X31" s="693" t="s">
        <v>659</v>
      </c>
      <c r="Y31" s="693">
        <v>36179</v>
      </c>
      <c r="Z31" s="693">
        <v>32084</v>
      </c>
      <c r="AA31" s="693">
        <v>12083</v>
      </c>
      <c r="AB31" s="693">
        <v>2669</v>
      </c>
      <c r="AC31" s="693">
        <v>47436</v>
      </c>
      <c r="AD31" s="693">
        <v>8744</v>
      </c>
      <c r="AE31" s="693">
        <v>1160</v>
      </c>
      <c r="AF31" s="693">
        <v>270</v>
      </c>
      <c r="AG31" s="693">
        <v>0</v>
      </c>
      <c r="AH31" s="693">
        <v>0</v>
      </c>
      <c r="AI31" s="693">
        <v>0</v>
      </c>
      <c r="AJ31" s="693">
        <v>0</v>
      </c>
      <c r="AK31" s="693">
        <v>0</v>
      </c>
      <c r="AL31" s="693"/>
      <c r="AM31" s="693"/>
      <c r="AN31" s="693">
        <v>68263</v>
      </c>
      <c r="AO31" s="696">
        <v>46023</v>
      </c>
      <c r="AP31" s="696">
        <v>46387</v>
      </c>
      <c r="AQ31" s="235" t="s">
        <v>660</v>
      </c>
    </row>
    <row r="32" spans="1:43" s="697" customFormat="1" ht="141" customHeight="1">
      <c r="A32" s="688">
        <v>2</v>
      </c>
      <c r="B32" s="688" t="s">
        <v>691</v>
      </c>
      <c r="C32" s="689">
        <v>17</v>
      </c>
      <c r="D32" s="688" t="s">
        <v>652</v>
      </c>
      <c r="E32" s="689">
        <v>1708</v>
      </c>
      <c r="F32" s="689" t="s">
        <v>728</v>
      </c>
      <c r="G32" s="689">
        <v>1708016</v>
      </c>
      <c r="H32" s="689" t="s">
        <v>729</v>
      </c>
      <c r="I32" s="689">
        <v>170801600</v>
      </c>
      <c r="J32" s="689" t="s">
        <v>730</v>
      </c>
      <c r="K32" s="690">
        <v>1</v>
      </c>
      <c r="L32" s="690"/>
      <c r="M32" s="690">
        <f t="shared" si="0"/>
        <v>1</v>
      </c>
      <c r="N32" s="691">
        <v>2024003630113</v>
      </c>
      <c r="O32" s="194" t="s">
        <v>731</v>
      </c>
      <c r="P32" s="235" t="s">
        <v>732</v>
      </c>
      <c r="Q32" s="182">
        <v>220000000</v>
      </c>
      <c r="R32" s="215">
        <f>6000000+14400000+14800000+5600000+7400000</f>
        <v>48200000</v>
      </c>
      <c r="S32" s="215"/>
      <c r="T32" s="215"/>
      <c r="U32" s="213">
        <f>+Q32-R32+S32-T32</f>
        <v>171800000</v>
      </c>
      <c r="V32" s="711" t="s">
        <v>733</v>
      </c>
      <c r="W32" s="693">
        <v>20</v>
      </c>
      <c r="X32" s="693" t="s">
        <v>659</v>
      </c>
      <c r="Y32" s="693">
        <v>35360</v>
      </c>
      <c r="Z32" s="693">
        <v>32903</v>
      </c>
      <c r="AA32" s="693">
        <v>12083</v>
      </c>
      <c r="AB32" s="693">
        <v>2669</v>
      </c>
      <c r="AC32" s="693">
        <v>44767</v>
      </c>
      <c r="AD32" s="693">
        <v>8744</v>
      </c>
      <c r="AE32" s="693">
        <v>1160</v>
      </c>
      <c r="AF32" s="693">
        <v>260</v>
      </c>
      <c r="AG32" s="693">
        <v>0</v>
      </c>
      <c r="AH32" s="693">
        <v>0</v>
      </c>
      <c r="AI32" s="693">
        <v>0</v>
      </c>
      <c r="AJ32" s="693">
        <v>0</v>
      </c>
      <c r="AK32" s="693">
        <v>0</v>
      </c>
      <c r="AL32" s="693">
        <v>1984</v>
      </c>
      <c r="AM32" s="693"/>
      <c r="AN32" s="693">
        <v>68263</v>
      </c>
      <c r="AO32" s="696">
        <v>46023</v>
      </c>
      <c r="AP32" s="696">
        <v>46387</v>
      </c>
      <c r="AQ32" s="235" t="s">
        <v>660</v>
      </c>
    </row>
    <row r="33" spans="1:43" s="697" customFormat="1" ht="87" customHeight="1">
      <c r="A33" s="688">
        <v>2</v>
      </c>
      <c r="B33" s="688" t="s">
        <v>691</v>
      </c>
      <c r="C33" s="689">
        <v>17</v>
      </c>
      <c r="D33" s="688" t="s">
        <v>652</v>
      </c>
      <c r="E33" s="689">
        <v>1708</v>
      </c>
      <c r="F33" s="689" t="s">
        <v>728</v>
      </c>
      <c r="G33" s="689">
        <v>1708051</v>
      </c>
      <c r="H33" s="689" t="s">
        <v>734</v>
      </c>
      <c r="I33" s="689">
        <v>170805100</v>
      </c>
      <c r="J33" s="689" t="s">
        <v>735</v>
      </c>
      <c r="K33" s="690">
        <v>1</v>
      </c>
      <c r="L33" s="690"/>
      <c r="M33" s="690">
        <f t="shared" si="0"/>
        <v>1</v>
      </c>
      <c r="N33" s="691">
        <v>2024003630113</v>
      </c>
      <c r="O33" s="194" t="s">
        <v>731</v>
      </c>
      <c r="P33" s="235" t="s">
        <v>736</v>
      </c>
      <c r="Q33" s="182">
        <v>20000000</v>
      </c>
      <c r="R33" s="215"/>
      <c r="S33" s="215"/>
      <c r="T33" s="215"/>
      <c r="U33" s="213"/>
      <c r="V33" s="711" t="s">
        <v>737</v>
      </c>
      <c r="W33" s="693">
        <v>20</v>
      </c>
      <c r="X33" s="693" t="s">
        <v>659</v>
      </c>
      <c r="Y33" s="693">
        <v>35360</v>
      </c>
      <c r="Z33" s="693">
        <v>32903</v>
      </c>
      <c r="AA33" s="693">
        <v>12083</v>
      </c>
      <c r="AB33" s="693">
        <v>2669</v>
      </c>
      <c r="AC33" s="693">
        <v>44767</v>
      </c>
      <c r="AD33" s="693">
        <v>8744</v>
      </c>
      <c r="AE33" s="693">
        <v>1160</v>
      </c>
      <c r="AF33" s="693">
        <v>260</v>
      </c>
      <c r="AG33" s="693">
        <v>0</v>
      </c>
      <c r="AH33" s="693">
        <v>0</v>
      </c>
      <c r="AI33" s="693">
        <v>0</v>
      </c>
      <c r="AJ33" s="693">
        <v>0</v>
      </c>
      <c r="AK33" s="693">
        <v>0</v>
      </c>
      <c r="AL33" s="693">
        <v>1984</v>
      </c>
      <c r="AM33" s="693"/>
      <c r="AN33" s="693">
        <v>68263</v>
      </c>
      <c r="AO33" s="696">
        <v>46023</v>
      </c>
      <c r="AP33" s="696">
        <v>46387</v>
      </c>
      <c r="AQ33" s="235" t="s">
        <v>660</v>
      </c>
    </row>
    <row r="34" spans="1:43" s="697" customFormat="1" ht="76.5">
      <c r="A34" s="688">
        <v>2</v>
      </c>
      <c r="B34" s="688" t="s">
        <v>691</v>
      </c>
      <c r="C34" s="689">
        <v>17</v>
      </c>
      <c r="D34" s="688" t="s">
        <v>652</v>
      </c>
      <c r="E34" s="689">
        <v>1708</v>
      </c>
      <c r="F34" s="689" t="s">
        <v>728</v>
      </c>
      <c r="G34" s="689">
        <v>1708040</v>
      </c>
      <c r="H34" s="689" t="s">
        <v>738</v>
      </c>
      <c r="I34" s="689">
        <v>170804000</v>
      </c>
      <c r="J34" s="689" t="s">
        <v>739</v>
      </c>
      <c r="K34" s="690">
        <v>770</v>
      </c>
      <c r="L34" s="690"/>
      <c r="M34" s="690">
        <f t="shared" si="0"/>
        <v>770</v>
      </c>
      <c r="N34" s="691">
        <v>2024003630113</v>
      </c>
      <c r="O34" s="194" t="s">
        <v>731</v>
      </c>
      <c r="P34" s="705" t="s">
        <v>740</v>
      </c>
      <c r="Q34" s="216">
        <f>310000000-Q35</f>
        <v>260000000</v>
      </c>
      <c r="R34" s="179">
        <f>14800000+6000000+16000000+16000000+9600000+14800000+14800000+14800000+14800000+14800000+7400000</f>
        <v>143800000</v>
      </c>
      <c r="S34" s="179"/>
      <c r="T34" s="179"/>
      <c r="U34" s="190"/>
      <c r="V34" s="701" t="s">
        <v>741</v>
      </c>
      <c r="W34" s="702">
        <v>20</v>
      </c>
      <c r="X34" s="693" t="s">
        <v>659</v>
      </c>
      <c r="Y34" s="693">
        <v>35360</v>
      </c>
      <c r="Z34" s="693">
        <v>32903</v>
      </c>
      <c r="AA34" s="693">
        <v>12083</v>
      </c>
      <c r="AB34" s="693">
        <v>2669</v>
      </c>
      <c r="AC34" s="693">
        <v>44767</v>
      </c>
      <c r="AD34" s="693">
        <v>8744</v>
      </c>
      <c r="AE34" s="693">
        <v>1160</v>
      </c>
      <c r="AF34" s="693">
        <v>260</v>
      </c>
      <c r="AG34" s="693">
        <v>0</v>
      </c>
      <c r="AH34" s="693">
        <v>0</v>
      </c>
      <c r="AI34" s="693">
        <v>0</v>
      </c>
      <c r="AJ34" s="693">
        <v>0</v>
      </c>
      <c r="AK34" s="693">
        <v>0</v>
      </c>
      <c r="AL34" s="693">
        <v>1984</v>
      </c>
      <c r="AM34" s="693"/>
      <c r="AN34" s="693">
        <v>68263</v>
      </c>
      <c r="AO34" s="696">
        <v>46023</v>
      </c>
      <c r="AP34" s="696">
        <v>46387</v>
      </c>
      <c r="AQ34" s="235" t="s">
        <v>660</v>
      </c>
    </row>
    <row r="35" spans="1:43" s="697" customFormat="1" ht="105">
      <c r="A35" s="688">
        <v>2</v>
      </c>
      <c r="B35" s="688" t="s">
        <v>691</v>
      </c>
      <c r="C35" s="689">
        <v>17</v>
      </c>
      <c r="D35" s="688" t="s">
        <v>652</v>
      </c>
      <c r="E35" s="689">
        <v>1708</v>
      </c>
      <c r="F35" s="689" t="s">
        <v>728</v>
      </c>
      <c r="G35" s="689">
        <v>1708040</v>
      </c>
      <c r="H35" s="689" t="s">
        <v>738</v>
      </c>
      <c r="I35" s="689">
        <v>170804000</v>
      </c>
      <c r="J35" s="689" t="s">
        <v>739</v>
      </c>
      <c r="K35" s="690">
        <v>770</v>
      </c>
      <c r="L35" s="690"/>
      <c r="M35" s="690">
        <f t="shared" si="0"/>
        <v>770</v>
      </c>
      <c r="N35" s="691">
        <v>2024003630113</v>
      </c>
      <c r="O35" s="194" t="s">
        <v>731</v>
      </c>
      <c r="P35" s="705" t="s">
        <v>742</v>
      </c>
      <c r="Q35" s="217">
        <v>50000000</v>
      </c>
      <c r="R35" s="179"/>
      <c r="S35" s="179"/>
      <c r="T35" s="179"/>
      <c r="U35" s="190"/>
      <c r="V35" s="701" t="s">
        <v>741</v>
      </c>
      <c r="W35" s="702">
        <v>20</v>
      </c>
      <c r="X35" s="693" t="s">
        <v>659</v>
      </c>
      <c r="Y35" s="693">
        <v>35360</v>
      </c>
      <c r="Z35" s="693">
        <v>32903</v>
      </c>
      <c r="AA35" s="693">
        <v>12083</v>
      </c>
      <c r="AB35" s="693">
        <v>2669</v>
      </c>
      <c r="AC35" s="693">
        <v>44767</v>
      </c>
      <c r="AD35" s="693">
        <v>8744</v>
      </c>
      <c r="AE35" s="693">
        <v>1160</v>
      </c>
      <c r="AF35" s="693">
        <v>260</v>
      </c>
      <c r="AG35" s="693">
        <v>0</v>
      </c>
      <c r="AH35" s="693">
        <v>0</v>
      </c>
      <c r="AI35" s="693">
        <v>0</v>
      </c>
      <c r="AJ35" s="693">
        <v>0</v>
      </c>
      <c r="AK35" s="693">
        <v>0</v>
      </c>
      <c r="AL35" s="693">
        <v>1984</v>
      </c>
      <c r="AM35" s="693"/>
      <c r="AN35" s="693">
        <v>68263</v>
      </c>
      <c r="AO35" s="696">
        <v>46023</v>
      </c>
      <c r="AP35" s="696">
        <v>46387</v>
      </c>
      <c r="AQ35" s="235" t="s">
        <v>660</v>
      </c>
    </row>
    <row r="36" spans="1:43" s="697" customFormat="1" ht="135">
      <c r="A36" s="688">
        <v>2</v>
      </c>
      <c r="B36" s="688" t="s">
        <v>691</v>
      </c>
      <c r="C36" s="689">
        <v>17</v>
      </c>
      <c r="D36" s="688" t="s">
        <v>652</v>
      </c>
      <c r="E36" s="689">
        <v>1709</v>
      </c>
      <c r="F36" s="689" t="s">
        <v>743</v>
      </c>
      <c r="G36" s="689">
        <v>1709059</v>
      </c>
      <c r="H36" s="689" t="s">
        <v>744</v>
      </c>
      <c r="I36" s="689">
        <v>170905900</v>
      </c>
      <c r="J36" s="689" t="s">
        <v>744</v>
      </c>
      <c r="K36" s="693">
        <v>3</v>
      </c>
      <c r="L36" s="693"/>
      <c r="M36" s="693">
        <f t="shared" si="0"/>
        <v>3</v>
      </c>
      <c r="N36" s="691">
        <v>2024003630060</v>
      </c>
      <c r="O36" s="194" t="s">
        <v>745</v>
      </c>
      <c r="P36" s="235" t="s">
        <v>746</v>
      </c>
      <c r="Q36" s="208">
        <v>150000000</v>
      </c>
      <c r="R36" s="218"/>
      <c r="S36" s="218"/>
      <c r="T36" s="218"/>
      <c r="U36" s="210"/>
      <c r="V36" s="699" t="s">
        <v>747</v>
      </c>
      <c r="W36" s="693">
        <v>20</v>
      </c>
      <c r="X36" s="693" t="s">
        <v>659</v>
      </c>
      <c r="Y36" s="693">
        <v>725</v>
      </c>
      <c r="Z36" s="693">
        <v>675</v>
      </c>
      <c r="AA36" s="693">
        <v>0</v>
      </c>
      <c r="AB36" s="693">
        <v>280</v>
      </c>
      <c r="AC36" s="693">
        <v>1080</v>
      </c>
      <c r="AD36" s="693">
        <v>40</v>
      </c>
      <c r="AE36" s="693">
        <v>24</v>
      </c>
      <c r="AF36" s="693">
        <v>5</v>
      </c>
      <c r="AG36" s="693">
        <v>0</v>
      </c>
      <c r="AH36" s="693">
        <v>0</v>
      </c>
      <c r="AI36" s="693">
        <v>0</v>
      </c>
      <c r="AJ36" s="693">
        <v>0</v>
      </c>
      <c r="AK36" s="693">
        <v>0</v>
      </c>
      <c r="AL36" s="693">
        <v>0</v>
      </c>
      <c r="AM36" s="693">
        <v>67</v>
      </c>
      <c r="AN36" s="693">
        <v>1400</v>
      </c>
      <c r="AO36" s="696">
        <v>46023</v>
      </c>
      <c r="AP36" s="696">
        <v>46387</v>
      </c>
      <c r="AQ36" s="235" t="s">
        <v>660</v>
      </c>
    </row>
    <row r="37" spans="1:43" s="697" customFormat="1" ht="149.25" customHeight="1">
      <c r="A37" s="688">
        <v>2</v>
      </c>
      <c r="B37" s="688" t="s">
        <v>691</v>
      </c>
      <c r="C37" s="688">
        <v>35</v>
      </c>
      <c r="D37" s="688" t="s">
        <v>748</v>
      </c>
      <c r="E37" s="688">
        <v>3502</v>
      </c>
      <c r="F37" s="688" t="s">
        <v>749</v>
      </c>
      <c r="G37" s="688">
        <v>3502007</v>
      </c>
      <c r="H37" s="688" t="s">
        <v>750</v>
      </c>
      <c r="I37" s="688">
        <v>350200700</v>
      </c>
      <c r="J37" s="688" t="s">
        <v>751</v>
      </c>
      <c r="K37" s="693">
        <v>5</v>
      </c>
      <c r="L37" s="693"/>
      <c r="M37" s="693">
        <f t="shared" si="0"/>
        <v>5</v>
      </c>
      <c r="N37" s="691">
        <v>2024003630073</v>
      </c>
      <c r="O37" s="194" t="s">
        <v>752</v>
      </c>
      <c r="P37" s="235" t="s">
        <v>753</v>
      </c>
      <c r="Q37" s="211">
        <v>160000000</v>
      </c>
      <c r="R37" s="212">
        <f>14800000+12000000</f>
        <v>26800000</v>
      </c>
      <c r="S37" s="212"/>
      <c r="T37" s="212"/>
      <c r="U37" s="213"/>
      <c r="V37" s="693" t="s">
        <v>754</v>
      </c>
      <c r="W37" s="693">
        <v>20</v>
      </c>
      <c r="X37" s="693" t="s">
        <v>659</v>
      </c>
      <c r="Y37" s="693">
        <v>725</v>
      </c>
      <c r="Z37" s="693">
        <v>675</v>
      </c>
      <c r="AA37" s="693">
        <v>0</v>
      </c>
      <c r="AB37" s="693">
        <v>280</v>
      </c>
      <c r="AC37" s="693">
        <v>1080</v>
      </c>
      <c r="AD37" s="693">
        <v>40</v>
      </c>
      <c r="AE37" s="693">
        <v>24</v>
      </c>
      <c r="AF37" s="693">
        <v>5</v>
      </c>
      <c r="AG37" s="693">
        <v>0</v>
      </c>
      <c r="AH37" s="693">
        <v>0</v>
      </c>
      <c r="AI37" s="693">
        <v>0</v>
      </c>
      <c r="AJ37" s="693">
        <v>0</v>
      </c>
      <c r="AK37" s="693">
        <v>0</v>
      </c>
      <c r="AL37" s="693">
        <v>0</v>
      </c>
      <c r="AM37" s="693">
        <v>67</v>
      </c>
      <c r="AN37" s="693">
        <v>1400</v>
      </c>
      <c r="AO37" s="696">
        <v>46023</v>
      </c>
      <c r="AP37" s="696">
        <v>46387</v>
      </c>
      <c r="AQ37" s="235" t="s">
        <v>660</v>
      </c>
    </row>
    <row r="38" spans="1:43" s="697" customFormat="1" ht="128.25" customHeight="1">
      <c r="A38" s="688">
        <v>2</v>
      </c>
      <c r="B38" s="688" t="s">
        <v>691</v>
      </c>
      <c r="C38" s="688">
        <v>35</v>
      </c>
      <c r="D38" s="688" t="s">
        <v>748</v>
      </c>
      <c r="E38" s="688">
        <v>3502</v>
      </c>
      <c r="F38" s="688" t="s">
        <v>749</v>
      </c>
      <c r="G38" s="688" t="s">
        <v>755</v>
      </c>
      <c r="H38" s="688" t="s">
        <v>756</v>
      </c>
      <c r="I38" s="688">
        <v>350201700</v>
      </c>
      <c r="J38" s="688" t="s">
        <v>757</v>
      </c>
      <c r="K38" s="693">
        <v>5</v>
      </c>
      <c r="L38" s="693"/>
      <c r="M38" s="693">
        <f t="shared" si="0"/>
        <v>5</v>
      </c>
      <c r="N38" s="691">
        <v>2024003630073</v>
      </c>
      <c r="O38" s="194" t="s">
        <v>752</v>
      </c>
      <c r="P38" s="235" t="s">
        <v>758</v>
      </c>
      <c r="Q38" s="211">
        <v>130000000</v>
      </c>
      <c r="R38" s="212">
        <f>14800000+18000000</f>
        <v>32800000</v>
      </c>
      <c r="S38" s="212"/>
      <c r="T38" s="212"/>
      <c r="U38" s="213"/>
      <c r="V38" s="693" t="s">
        <v>759</v>
      </c>
      <c r="W38" s="693">
        <v>20</v>
      </c>
      <c r="X38" s="693" t="s">
        <v>659</v>
      </c>
      <c r="Y38" s="693">
        <v>725</v>
      </c>
      <c r="Z38" s="693">
        <v>675</v>
      </c>
      <c r="AA38" s="693">
        <v>0</v>
      </c>
      <c r="AB38" s="693">
        <v>280</v>
      </c>
      <c r="AC38" s="693">
        <v>1080</v>
      </c>
      <c r="AD38" s="693">
        <v>40</v>
      </c>
      <c r="AE38" s="693">
        <v>24</v>
      </c>
      <c r="AF38" s="693">
        <v>5</v>
      </c>
      <c r="AG38" s="693">
        <v>0</v>
      </c>
      <c r="AH38" s="693">
        <v>0</v>
      </c>
      <c r="AI38" s="693">
        <v>0</v>
      </c>
      <c r="AJ38" s="693">
        <v>0</v>
      </c>
      <c r="AK38" s="693">
        <v>0</v>
      </c>
      <c r="AL38" s="693">
        <v>0</v>
      </c>
      <c r="AM38" s="693">
        <v>67</v>
      </c>
      <c r="AN38" s="693">
        <v>1400</v>
      </c>
      <c r="AO38" s="696">
        <v>46023</v>
      </c>
      <c r="AP38" s="696">
        <v>46387</v>
      </c>
      <c r="AQ38" s="235" t="s">
        <v>660</v>
      </c>
    </row>
    <row r="39" spans="1:43" s="697" customFormat="1" ht="75">
      <c r="A39" s="688">
        <v>2</v>
      </c>
      <c r="B39" s="688" t="s">
        <v>691</v>
      </c>
      <c r="C39" s="689">
        <v>32</v>
      </c>
      <c r="D39" s="688" t="s">
        <v>760</v>
      </c>
      <c r="E39" s="689">
        <v>3201</v>
      </c>
      <c r="F39" s="689" t="s">
        <v>761</v>
      </c>
      <c r="G39" s="689" t="s">
        <v>762</v>
      </c>
      <c r="H39" s="689" t="s">
        <v>763</v>
      </c>
      <c r="I39" s="689">
        <v>320100805</v>
      </c>
      <c r="J39" s="712" t="s">
        <v>764</v>
      </c>
      <c r="K39" s="693">
        <v>3</v>
      </c>
      <c r="L39" s="693"/>
      <c r="M39" s="693">
        <f>+K39+L39</f>
        <v>3</v>
      </c>
      <c r="N39" s="691">
        <v>2024003630094</v>
      </c>
      <c r="O39" s="194" t="s">
        <v>765</v>
      </c>
      <c r="P39" s="235" t="s">
        <v>766</v>
      </c>
      <c r="Q39" s="182">
        <v>80000000</v>
      </c>
      <c r="R39" s="219">
        <v>4000000</v>
      </c>
      <c r="S39" s="219"/>
      <c r="T39" s="219"/>
      <c r="U39" s="213"/>
      <c r="V39" s="693" t="s">
        <v>767</v>
      </c>
      <c r="W39" s="693">
        <v>20</v>
      </c>
      <c r="X39" s="693" t="s">
        <v>659</v>
      </c>
      <c r="Y39" s="693">
        <v>35360</v>
      </c>
      <c r="Z39" s="693">
        <v>32903</v>
      </c>
      <c r="AA39" s="693">
        <v>12083</v>
      </c>
      <c r="AB39" s="693">
        <v>2669</v>
      </c>
      <c r="AC39" s="693">
        <v>44767</v>
      </c>
      <c r="AD39" s="693">
        <v>8744</v>
      </c>
      <c r="AE39" s="693">
        <v>1160</v>
      </c>
      <c r="AF39" s="693">
        <v>260</v>
      </c>
      <c r="AG39" s="693">
        <v>0</v>
      </c>
      <c r="AH39" s="693">
        <v>0</v>
      </c>
      <c r="AI39" s="693">
        <v>0</v>
      </c>
      <c r="AJ39" s="693">
        <v>0</v>
      </c>
      <c r="AK39" s="693">
        <v>0</v>
      </c>
      <c r="AL39" s="693">
        <v>1984</v>
      </c>
      <c r="AM39" s="693"/>
      <c r="AN39" s="693">
        <v>68263</v>
      </c>
      <c r="AO39" s="696">
        <v>46023</v>
      </c>
      <c r="AP39" s="696">
        <v>46387</v>
      </c>
      <c r="AQ39" s="235" t="s">
        <v>660</v>
      </c>
    </row>
    <row r="40" spans="1:43" s="697" customFormat="1" ht="96.75" customHeight="1">
      <c r="A40" s="688">
        <v>2</v>
      </c>
      <c r="B40" s="688" t="s">
        <v>691</v>
      </c>
      <c r="C40" s="689">
        <v>32</v>
      </c>
      <c r="D40" s="688" t="s">
        <v>760</v>
      </c>
      <c r="E40" s="689">
        <v>3201</v>
      </c>
      <c r="F40" s="689" t="s">
        <v>761</v>
      </c>
      <c r="G40" s="689" t="s">
        <v>768</v>
      </c>
      <c r="H40" s="689" t="s">
        <v>769</v>
      </c>
      <c r="I40" s="689" t="s">
        <v>770</v>
      </c>
      <c r="J40" s="712" t="s">
        <v>771</v>
      </c>
      <c r="K40" s="693">
        <v>5</v>
      </c>
      <c r="L40" s="693"/>
      <c r="M40" s="693">
        <f>+K40+L40</f>
        <v>5</v>
      </c>
      <c r="N40" s="691">
        <v>2024003630094</v>
      </c>
      <c r="O40" s="194" t="s">
        <v>765</v>
      </c>
      <c r="P40" s="235" t="s">
        <v>772</v>
      </c>
      <c r="Q40" s="220">
        <v>110000000</v>
      </c>
      <c r="R40" s="221">
        <f>7400000+5600000+14800000</f>
        <v>27800000</v>
      </c>
      <c r="S40" s="221"/>
      <c r="T40" s="221"/>
      <c r="U40" s="222"/>
      <c r="V40" s="713" t="s">
        <v>773</v>
      </c>
      <c r="W40" s="714">
        <v>20</v>
      </c>
      <c r="X40" s="714" t="s">
        <v>659</v>
      </c>
      <c r="Y40" s="693">
        <v>35360</v>
      </c>
      <c r="Z40" s="693">
        <v>32903</v>
      </c>
      <c r="AA40" s="693">
        <v>12083</v>
      </c>
      <c r="AB40" s="693">
        <v>2669</v>
      </c>
      <c r="AC40" s="693">
        <v>44767</v>
      </c>
      <c r="AD40" s="693">
        <v>8744</v>
      </c>
      <c r="AE40" s="693">
        <v>1160</v>
      </c>
      <c r="AF40" s="693">
        <v>260</v>
      </c>
      <c r="AG40" s="693">
        <v>0</v>
      </c>
      <c r="AH40" s="693">
        <v>0</v>
      </c>
      <c r="AI40" s="693">
        <v>0</v>
      </c>
      <c r="AJ40" s="693">
        <v>0</v>
      </c>
      <c r="AK40" s="693">
        <v>0</v>
      </c>
      <c r="AL40" s="693">
        <v>1984</v>
      </c>
      <c r="AM40" s="693"/>
      <c r="AN40" s="693">
        <v>68263</v>
      </c>
      <c r="AO40" s="696">
        <v>46023</v>
      </c>
      <c r="AP40" s="696">
        <v>46387</v>
      </c>
      <c r="AQ40" s="235" t="s">
        <v>660</v>
      </c>
    </row>
    <row r="41" spans="1:43" s="697" customFormat="1" ht="97.5" customHeight="1">
      <c r="A41" s="688">
        <v>2</v>
      </c>
      <c r="B41" s="688" t="s">
        <v>691</v>
      </c>
      <c r="C41" s="689">
        <v>32</v>
      </c>
      <c r="D41" s="689" t="s">
        <v>760</v>
      </c>
      <c r="E41" s="689" t="s">
        <v>774</v>
      </c>
      <c r="F41" s="689" t="s">
        <v>775</v>
      </c>
      <c r="G41" s="689">
        <v>3202037</v>
      </c>
      <c r="H41" s="689" t="s">
        <v>776</v>
      </c>
      <c r="I41" s="689" t="s">
        <v>777</v>
      </c>
      <c r="J41" s="712" t="s">
        <v>778</v>
      </c>
      <c r="K41" s="690">
        <v>10</v>
      </c>
      <c r="L41" s="690"/>
      <c r="M41" s="690">
        <f t="shared" si="0"/>
        <v>10</v>
      </c>
      <c r="N41" s="691">
        <v>2024003630091</v>
      </c>
      <c r="O41" s="194" t="s">
        <v>779</v>
      </c>
      <c r="P41" s="235" t="s">
        <v>780</v>
      </c>
      <c r="Q41" s="223">
        <v>443852119.97000003</v>
      </c>
      <c r="R41" s="224">
        <f>7400000+4000000+4000000+4000000+4000000</f>
        <v>23400000</v>
      </c>
      <c r="S41" s="224"/>
      <c r="T41" s="224"/>
      <c r="U41" s="193"/>
      <c r="V41" s="715" t="s">
        <v>781</v>
      </c>
      <c r="W41" s="716">
        <v>20</v>
      </c>
      <c r="X41" s="716" t="s">
        <v>659</v>
      </c>
      <c r="Y41" s="702">
        <v>35360</v>
      </c>
      <c r="Z41" s="693">
        <v>32903</v>
      </c>
      <c r="AA41" s="693">
        <v>12083</v>
      </c>
      <c r="AB41" s="693">
        <v>2669</v>
      </c>
      <c r="AC41" s="693">
        <v>44767</v>
      </c>
      <c r="AD41" s="693">
        <v>8744</v>
      </c>
      <c r="AE41" s="693">
        <v>1160</v>
      </c>
      <c r="AF41" s="693">
        <v>260</v>
      </c>
      <c r="AG41" s="693">
        <v>0</v>
      </c>
      <c r="AH41" s="693">
        <v>0</v>
      </c>
      <c r="AI41" s="693">
        <v>0</v>
      </c>
      <c r="AJ41" s="693">
        <v>0</v>
      </c>
      <c r="AK41" s="693">
        <v>0</v>
      </c>
      <c r="AL41" s="693">
        <v>1984</v>
      </c>
      <c r="AM41" s="693"/>
      <c r="AN41" s="693">
        <v>68263</v>
      </c>
      <c r="AO41" s="696">
        <v>46023</v>
      </c>
      <c r="AP41" s="696">
        <v>46387</v>
      </c>
      <c r="AQ41" s="235" t="s">
        <v>660</v>
      </c>
    </row>
    <row r="42" spans="1:43" s="697" customFormat="1" ht="111" customHeight="1">
      <c r="A42" s="688">
        <v>2</v>
      </c>
      <c r="B42" s="688" t="s">
        <v>691</v>
      </c>
      <c r="C42" s="689">
        <v>32</v>
      </c>
      <c r="D42" s="689" t="s">
        <v>760</v>
      </c>
      <c r="E42" s="689" t="s">
        <v>774</v>
      </c>
      <c r="F42" s="689" t="s">
        <v>775</v>
      </c>
      <c r="G42" s="689">
        <v>3202043</v>
      </c>
      <c r="H42" s="689" t="s">
        <v>782</v>
      </c>
      <c r="I42" s="689">
        <v>320204300</v>
      </c>
      <c r="J42" s="712" t="s">
        <v>783</v>
      </c>
      <c r="K42" s="690">
        <v>200</v>
      </c>
      <c r="L42" s="717"/>
      <c r="M42" s="717">
        <f t="shared" si="0"/>
        <v>200</v>
      </c>
      <c r="N42" s="691">
        <v>2024003630091</v>
      </c>
      <c r="O42" s="194" t="s">
        <v>779</v>
      </c>
      <c r="P42" s="235" t="s">
        <v>784</v>
      </c>
      <c r="Q42" s="223">
        <v>347950706.66000003</v>
      </c>
      <c r="R42" s="225">
        <f>16000000+12000000+14800000+16000000</f>
        <v>58800000</v>
      </c>
      <c r="S42" s="225"/>
      <c r="T42" s="225"/>
      <c r="U42" s="190"/>
      <c r="V42" s="718" t="s">
        <v>785</v>
      </c>
      <c r="W42" s="719">
        <v>20</v>
      </c>
      <c r="X42" s="720" t="s">
        <v>659</v>
      </c>
      <c r="Y42" s="714">
        <v>35360</v>
      </c>
      <c r="Z42" s="714">
        <v>32903</v>
      </c>
      <c r="AA42" s="714">
        <v>12083</v>
      </c>
      <c r="AB42" s="693">
        <v>2669</v>
      </c>
      <c r="AC42" s="693">
        <v>44767</v>
      </c>
      <c r="AD42" s="693">
        <v>8744</v>
      </c>
      <c r="AE42" s="693">
        <v>1160</v>
      </c>
      <c r="AF42" s="693">
        <v>260</v>
      </c>
      <c r="AG42" s="693">
        <v>0</v>
      </c>
      <c r="AH42" s="693">
        <v>0</v>
      </c>
      <c r="AI42" s="693">
        <v>0</v>
      </c>
      <c r="AJ42" s="693">
        <v>0</v>
      </c>
      <c r="AK42" s="693">
        <v>0</v>
      </c>
      <c r="AL42" s="693">
        <v>1984</v>
      </c>
      <c r="AM42" s="693"/>
      <c r="AN42" s="693">
        <v>68263</v>
      </c>
      <c r="AO42" s="696">
        <v>46023</v>
      </c>
      <c r="AP42" s="696">
        <v>46387</v>
      </c>
      <c r="AQ42" s="235" t="s">
        <v>660</v>
      </c>
    </row>
    <row r="43" spans="1:43" s="697" customFormat="1" ht="128.25" customHeight="1">
      <c r="A43" s="688">
        <v>2</v>
      </c>
      <c r="B43" s="688" t="s">
        <v>691</v>
      </c>
      <c r="C43" s="689">
        <v>32</v>
      </c>
      <c r="D43" s="689" t="s">
        <v>760</v>
      </c>
      <c r="E43" s="689" t="s">
        <v>774</v>
      </c>
      <c r="F43" s="689" t="s">
        <v>775</v>
      </c>
      <c r="G43" s="689">
        <v>3202047</v>
      </c>
      <c r="H43" s="689" t="s">
        <v>786</v>
      </c>
      <c r="I43" s="689">
        <v>320204700</v>
      </c>
      <c r="J43" s="712" t="s">
        <v>787</v>
      </c>
      <c r="K43" s="721">
        <v>2970</v>
      </c>
      <c r="L43" s="721"/>
      <c r="M43" s="721">
        <f t="shared" si="0"/>
        <v>2970</v>
      </c>
      <c r="N43" s="691">
        <v>2024003630091</v>
      </c>
      <c r="O43" s="194" t="s">
        <v>779</v>
      </c>
      <c r="P43" s="235" t="s">
        <v>788</v>
      </c>
      <c r="Q43" s="223">
        <v>310000000</v>
      </c>
      <c r="R43" s="179">
        <f>5500000+18600000+12000000+12000000+12000000+12000000</f>
        <v>72100000</v>
      </c>
      <c r="S43" s="189"/>
      <c r="T43" s="179"/>
      <c r="U43" s="190"/>
      <c r="V43" s="701" t="s">
        <v>789</v>
      </c>
      <c r="W43" s="722">
        <v>20</v>
      </c>
      <c r="X43" s="700" t="s">
        <v>659</v>
      </c>
      <c r="Y43" s="700">
        <v>35360</v>
      </c>
      <c r="Z43" s="700">
        <v>32903</v>
      </c>
      <c r="AA43" s="700">
        <v>12083</v>
      </c>
      <c r="AB43" s="693">
        <v>2669</v>
      </c>
      <c r="AC43" s="693">
        <v>44767</v>
      </c>
      <c r="AD43" s="693">
        <v>8744</v>
      </c>
      <c r="AE43" s="693">
        <v>1160</v>
      </c>
      <c r="AF43" s="693">
        <v>260</v>
      </c>
      <c r="AG43" s="693">
        <v>0</v>
      </c>
      <c r="AH43" s="693">
        <v>0</v>
      </c>
      <c r="AI43" s="693">
        <v>0</v>
      </c>
      <c r="AJ43" s="693">
        <v>0</v>
      </c>
      <c r="AK43" s="693">
        <v>0</v>
      </c>
      <c r="AL43" s="693">
        <v>1984</v>
      </c>
      <c r="AM43" s="693"/>
      <c r="AN43" s="693">
        <v>68263</v>
      </c>
      <c r="AO43" s="696">
        <v>46023</v>
      </c>
      <c r="AP43" s="696">
        <v>46387</v>
      </c>
      <c r="AQ43" s="235" t="s">
        <v>660</v>
      </c>
    </row>
    <row r="44" spans="1:43" s="736" customFormat="1" ht="120.75" customHeight="1">
      <c r="A44" s="723">
        <v>2</v>
      </c>
      <c r="B44" s="724" t="s">
        <v>691</v>
      </c>
      <c r="C44" s="725">
        <v>32</v>
      </c>
      <c r="D44" s="726" t="s">
        <v>760</v>
      </c>
      <c r="E44" s="726" t="s">
        <v>774</v>
      </c>
      <c r="F44" s="726" t="s">
        <v>775</v>
      </c>
      <c r="G44" s="725">
        <v>3202047</v>
      </c>
      <c r="H44" s="726" t="s">
        <v>786</v>
      </c>
      <c r="I44" s="689">
        <v>320204700</v>
      </c>
      <c r="J44" s="726" t="s">
        <v>787</v>
      </c>
      <c r="K44" s="727">
        <v>2970</v>
      </c>
      <c r="L44" s="727"/>
      <c r="M44" s="727">
        <f>+K44+L44</f>
        <v>2970</v>
      </c>
      <c r="N44" s="728">
        <v>2024003630091</v>
      </c>
      <c r="O44" s="226" t="s">
        <v>779</v>
      </c>
      <c r="P44" s="729" t="s">
        <v>790</v>
      </c>
      <c r="Q44" s="227">
        <v>90000000</v>
      </c>
      <c r="R44" s="227"/>
      <c r="S44" s="227"/>
      <c r="T44" s="730"/>
      <c r="U44" s="228"/>
      <c r="V44" s="731" t="s">
        <v>791</v>
      </c>
      <c r="W44" s="732">
        <v>20</v>
      </c>
      <c r="X44" s="733" t="s">
        <v>659</v>
      </c>
      <c r="Y44" s="734">
        <v>35360</v>
      </c>
      <c r="Z44" s="735">
        <v>32903</v>
      </c>
      <c r="AA44" s="735">
        <v>12083</v>
      </c>
      <c r="AB44" s="735">
        <v>2669</v>
      </c>
      <c r="AC44" s="735">
        <v>44767</v>
      </c>
      <c r="AD44" s="735">
        <v>8744</v>
      </c>
      <c r="AE44" s="735">
        <v>1160</v>
      </c>
      <c r="AF44" s="735">
        <v>260</v>
      </c>
      <c r="AG44" s="735">
        <v>0</v>
      </c>
      <c r="AH44" s="735">
        <v>0</v>
      </c>
      <c r="AI44" s="735">
        <v>0</v>
      </c>
      <c r="AJ44" s="735">
        <v>0</v>
      </c>
      <c r="AK44" s="735">
        <v>0</v>
      </c>
      <c r="AL44" s="735">
        <v>1984</v>
      </c>
      <c r="AM44" s="735"/>
      <c r="AN44" s="735">
        <v>68263</v>
      </c>
      <c r="AO44" s="696">
        <v>46023</v>
      </c>
      <c r="AP44" s="696">
        <v>46387</v>
      </c>
      <c r="AQ44" s="235" t="s">
        <v>660</v>
      </c>
    </row>
    <row r="45" spans="1:43" s="697" customFormat="1" ht="75">
      <c r="A45" s="688">
        <v>2</v>
      </c>
      <c r="B45" s="688" t="s">
        <v>691</v>
      </c>
      <c r="C45" s="689">
        <v>32</v>
      </c>
      <c r="D45" s="689" t="s">
        <v>760</v>
      </c>
      <c r="E45" s="689" t="s">
        <v>774</v>
      </c>
      <c r="F45" s="689" t="s">
        <v>775</v>
      </c>
      <c r="G45" s="689">
        <v>3202005</v>
      </c>
      <c r="H45" s="689" t="s">
        <v>792</v>
      </c>
      <c r="I45" s="689">
        <v>320200500</v>
      </c>
      <c r="J45" s="712" t="s">
        <v>793</v>
      </c>
      <c r="K45" s="690">
        <v>50</v>
      </c>
      <c r="L45" s="737"/>
      <c r="M45" s="690">
        <f t="shared" si="0"/>
        <v>50</v>
      </c>
      <c r="N45" s="691">
        <v>2024003630091</v>
      </c>
      <c r="O45" s="194" t="s">
        <v>779</v>
      </c>
      <c r="P45" s="235" t="s">
        <v>794</v>
      </c>
      <c r="Q45" s="223">
        <v>100000000</v>
      </c>
      <c r="R45" s="229"/>
      <c r="S45" s="229"/>
      <c r="T45" s="229"/>
      <c r="U45" s="210"/>
      <c r="V45" s="699" t="s">
        <v>795</v>
      </c>
      <c r="W45" s="693">
        <v>20</v>
      </c>
      <c r="X45" s="693" t="s">
        <v>659</v>
      </c>
      <c r="Y45" s="693">
        <v>35360</v>
      </c>
      <c r="Z45" s="693">
        <v>32903</v>
      </c>
      <c r="AA45" s="693">
        <v>12083</v>
      </c>
      <c r="AB45" s="693">
        <v>2669</v>
      </c>
      <c r="AC45" s="693">
        <v>44767</v>
      </c>
      <c r="AD45" s="693">
        <v>8744</v>
      </c>
      <c r="AE45" s="693">
        <v>1160</v>
      </c>
      <c r="AF45" s="693">
        <v>260</v>
      </c>
      <c r="AG45" s="693">
        <v>0</v>
      </c>
      <c r="AH45" s="693">
        <v>0</v>
      </c>
      <c r="AI45" s="693">
        <v>0</v>
      </c>
      <c r="AJ45" s="693">
        <v>0</v>
      </c>
      <c r="AK45" s="693">
        <v>0</v>
      </c>
      <c r="AL45" s="693">
        <v>1984</v>
      </c>
      <c r="AM45" s="693"/>
      <c r="AN45" s="693">
        <v>68263</v>
      </c>
      <c r="AO45" s="696">
        <v>46023</v>
      </c>
      <c r="AP45" s="696">
        <v>46387</v>
      </c>
      <c r="AQ45" s="235" t="s">
        <v>660</v>
      </c>
    </row>
    <row r="46" spans="1:43" s="697" customFormat="1" ht="75">
      <c r="A46" s="688">
        <v>2</v>
      </c>
      <c r="B46" s="688" t="s">
        <v>691</v>
      </c>
      <c r="C46" s="689">
        <v>32</v>
      </c>
      <c r="D46" s="689" t="s">
        <v>760</v>
      </c>
      <c r="E46" s="689"/>
      <c r="F46" s="689" t="s">
        <v>775</v>
      </c>
      <c r="G46" s="689">
        <v>3202006</v>
      </c>
      <c r="H46" s="689" t="s">
        <v>796</v>
      </c>
      <c r="I46" s="689">
        <v>320200601</v>
      </c>
      <c r="J46" s="712" t="s">
        <v>797</v>
      </c>
      <c r="K46" s="721">
        <v>115</v>
      </c>
      <c r="L46" s="721"/>
      <c r="M46" s="721">
        <f t="shared" si="0"/>
        <v>115</v>
      </c>
      <c r="N46" s="691">
        <v>2024003630091</v>
      </c>
      <c r="O46" s="194" t="s">
        <v>779</v>
      </c>
      <c r="P46" s="235" t="s">
        <v>798</v>
      </c>
      <c r="Q46" s="223">
        <v>100000000</v>
      </c>
      <c r="R46" s="230"/>
      <c r="S46" s="230"/>
      <c r="T46" s="230"/>
      <c r="U46" s="213"/>
      <c r="V46" s="738" t="s">
        <v>799</v>
      </c>
      <c r="W46" s="693">
        <v>20</v>
      </c>
      <c r="X46" s="693" t="s">
        <v>659</v>
      </c>
      <c r="Y46" s="693">
        <v>35360</v>
      </c>
      <c r="Z46" s="693">
        <v>32903</v>
      </c>
      <c r="AA46" s="693">
        <v>12083</v>
      </c>
      <c r="AB46" s="693">
        <v>2669</v>
      </c>
      <c r="AC46" s="693">
        <v>44767</v>
      </c>
      <c r="AD46" s="693">
        <v>8744</v>
      </c>
      <c r="AE46" s="693">
        <v>1160</v>
      </c>
      <c r="AF46" s="693">
        <v>260</v>
      </c>
      <c r="AG46" s="693">
        <v>0</v>
      </c>
      <c r="AH46" s="693">
        <v>0</v>
      </c>
      <c r="AI46" s="693">
        <v>0</v>
      </c>
      <c r="AJ46" s="693">
        <v>0</v>
      </c>
      <c r="AK46" s="693">
        <v>0</v>
      </c>
      <c r="AL46" s="693">
        <v>1984</v>
      </c>
      <c r="AM46" s="693"/>
      <c r="AN46" s="693">
        <v>68263</v>
      </c>
      <c r="AO46" s="696">
        <v>46023</v>
      </c>
      <c r="AP46" s="696">
        <v>46387</v>
      </c>
      <c r="AQ46" s="235" t="s">
        <v>660</v>
      </c>
    </row>
    <row r="47" spans="1:43" s="697" customFormat="1" ht="107.25" customHeight="1">
      <c r="A47" s="688">
        <v>2</v>
      </c>
      <c r="B47" s="688" t="s">
        <v>691</v>
      </c>
      <c r="C47" s="689">
        <v>32</v>
      </c>
      <c r="D47" s="688" t="s">
        <v>760</v>
      </c>
      <c r="E47" s="689">
        <v>3201</v>
      </c>
      <c r="F47" s="689" t="s">
        <v>761</v>
      </c>
      <c r="G47" s="689">
        <v>3201003</v>
      </c>
      <c r="H47" s="689" t="s">
        <v>800</v>
      </c>
      <c r="I47" s="689">
        <v>320100300</v>
      </c>
      <c r="J47" s="689" t="s">
        <v>801</v>
      </c>
      <c r="K47" s="693">
        <v>3</v>
      </c>
      <c r="L47" s="693"/>
      <c r="M47" s="693">
        <f t="shared" si="0"/>
        <v>3</v>
      </c>
      <c r="N47" s="691">
        <v>2024003630088</v>
      </c>
      <c r="O47" s="194" t="s">
        <v>802</v>
      </c>
      <c r="P47" s="235" t="s">
        <v>803</v>
      </c>
      <c r="Q47" s="211">
        <v>90000000</v>
      </c>
      <c r="R47" s="212">
        <f>10000000+16000000+14800000+7400000</f>
        <v>48200000</v>
      </c>
      <c r="S47" s="212"/>
      <c r="T47" s="212"/>
      <c r="U47" s="213"/>
      <c r="V47" s="693" t="s">
        <v>804</v>
      </c>
      <c r="W47" s="693">
        <v>20</v>
      </c>
      <c r="X47" s="693" t="s">
        <v>659</v>
      </c>
      <c r="Y47" s="693">
        <v>725</v>
      </c>
      <c r="Z47" s="693">
        <v>675</v>
      </c>
      <c r="AA47" s="693">
        <v>0</v>
      </c>
      <c r="AB47" s="693">
        <v>280</v>
      </c>
      <c r="AC47" s="693">
        <v>1080</v>
      </c>
      <c r="AD47" s="693">
        <v>40</v>
      </c>
      <c r="AE47" s="693">
        <v>24</v>
      </c>
      <c r="AF47" s="693">
        <v>5</v>
      </c>
      <c r="AG47" s="693">
        <v>0</v>
      </c>
      <c r="AH47" s="693">
        <v>0</v>
      </c>
      <c r="AI47" s="693">
        <v>0</v>
      </c>
      <c r="AJ47" s="693">
        <v>0</v>
      </c>
      <c r="AK47" s="693">
        <v>0</v>
      </c>
      <c r="AL47" s="693">
        <v>0</v>
      </c>
      <c r="AM47" s="693">
        <v>67</v>
      </c>
      <c r="AN47" s="693">
        <v>1400</v>
      </c>
      <c r="AO47" s="696">
        <v>46023</v>
      </c>
      <c r="AP47" s="696">
        <v>46387</v>
      </c>
      <c r="AQ47" s="235" t="s">
        <v>660</v>
      </c>
    </row>
    <row r="48" spans="1:43" s="736" customFormat="1" ht="102.75" customHeight="1">
      <c r="A48" s="739">
        <v>2</v>
      </c>
      <c r="B48" s="724" t="s">
        <v>691</v>
      </c>
      <c r="C48" s="725">
        <v>32</v>
      </c>
      <c r="D48" s="724" t="s">
        <v>760</v>
      </c>
      <c r="E48" s="725">
        <v>3201</v>
      </c>
      <c r="F48" s="725" t="s">
        <v>761</v>
      </c>
      <c r="G48" s="725">
        <v>3201003</v>
      </c>
      <c r="H48" s="725" t="s">
        <v>800</v>
      </c>
      <c r="I48" s="725">
        <v>320100300</v>
      </c>
      <c r="J48" s="726" t="s">
        <v>801</v>
      </c>
      <c r="K48" s="693">
        <v>3</v>
      </c>
      <c r="L48" s="735"/>
      <c r="M48" s="740">
        <f t="shared" si="0"/>
        <v>3</v>
      </c>
      <c r="N48" s="741">
        <v>2024003630088</v>
      </c>
      <c r="O48" s="231" t="s">
        <v>802</v>
      </c>
      <c r="P48" s="742" t="s">
        <v>805</v>
      </c>
      <c r="Q48" s="227">
        <v>10000000</v>
      </c>
      <c r="R48" s="227"/>
      <c r="S48" s="227"/>
      <c r="T48" s="227"/>
      <c r="U48" s="743">
        <f>+Q48-R48+S48-T48</f>
        <v>10000000</v>
      </c>
      <c r="V48" s="731" t="s">
        <v>806</v>
      </c>
      <c r="W48" s="740">
        <v>20</v>
      </c>
      <c r="X48" s="735" t="s">
        <v>659</v>
      </c>
      <c r="Y48" s="735">
        <v>725</v>
      </c>
      <c r="Z48" s="735">
        <v>675</v>
      </c>
      <c r="AA48" s="740">
        <v>0</v>
      </c>
      <c r="AB48" s="735">
        <v>280</v>
      </c>
      <c r="AC48" s="735">
        <v>1080</v>
      </c>
      <c r="AD48" s="735">
        <v>40</v>
      </c>
      <c r="AE48" s="735">
        <v>24</v>
      </c>
      <c r="AF48" s="735">
        <v>5</v>
      </c>
      <c r="AG48" s="735">
        <v>0</v>
      </c>
      <c r="AH48" s="735">
        <v>0</v>
      </c>
      <c r="AI48" s="735">
        <v>0</v>
      </c>
      <c r="AJ48" s="735">
        <v>0</v>
      </c>
      <c r="AK48" s="735">
        <v>0</v>
      </c>
      <c r="AL48" s="735">
        <v>0</v>
      </c>
      <c r="AM48" s="735">
        <v>67</v>
      </c>
      <c r="AN48" s="735">
        <v>1400</v>
      </c>
      <c r="AO48" s="696">
        <v>46023</v>
      </c>
      <c r="AP48" s="696">
        <v>46387</v>
      </c>
      <c r="AQ48" s="235" t="s">
        <v>660</v>
      </c>
    </row>
    <row r="49" spans="1:43" s="697" customFormat="1" ht="105">
      <c r="A49" s="688">
        <v>2</v>
      </c>
      <c r="B49" s="688" t="s">
        <v>691</v>
      </c>
      <c r="C49" s="689">
        <v>32</v>
      </c>
      <c r="D49" s="688" t="s">
        <v>760</v>
      </c>
      <c r="E49" s="689">
        <v>3205</v>
      </c>
      <c r="F49" s="689" t="s">
        <v>389</v>
      </c>
      <c r="G49" s="689" t="s">
        <v>807</v>
      </c>
      <c r="H49" s="689" t="s">
        <v>808</v>
      </c>
      <c r="I49" s="689" t="s">
        <v>809</v>
      </c>
      <c r="J49" s="689" t="s">
        <v>810</v>
      </c>
      <c r="K49" s="721">
        <v>8750</v>
      </c>
      <c r="L49" s="721"/>
      <c r="M49" s="721">
        <f t="shared" si="0"/>
        <v>8750</v>
      </c>
      <c r="N49" s="691">
        <v>2024003630067</v>
      </c>
      <c r="O49" s="194" t="s">
        <v>811</v>
      </c>
      <c r="P49" s="235" t="s">
        <v>812</v>
      </c>
      <c r="Q49" s="223">
        <v>100000000</v>
      </c>
      <c r="R49" s="232"/>
      <c r="S49" s="232"/>
      <c r="T49" s="232"/>
      <c r="U49" s="213"/>
      <c r="V49" s="693" t="s">
        <v>813</v>
      </c>
      <c r="W49" s="693">
        <v>20</v>
      </c>
      <c r="X49" s="693" t="s">
        <v>659</v>
      </c>
      <c r="Y49" s="693">
        <v>35360</v>
      </c>
      <c r="Z49" s="693">
        <v>32903</v>
      </c>
      <c r="AA49" s="693">
        <v>12083</v>
      </c>
      <c r="AB49" s="693">
        <v>2669</v>
      </c>
      <c r="AC49" s="693">
        <v>44767</v>
      </c>
      <c r="AD49" s="693">
        <v>8744</v>
      </c>
      <c r="AE49" s="693">
        <v>1160</v>
      </c>
      <c r="AF49" s="693">
        <v>260</v>
      </c>
      <c r="AG49" s="693">
        <v>0</v>
      </c>
      <c r="AH49" s="693">
        <v>0</v>
      </c>
      <c r="AI49" s="693">
        <v>0</v>
      </c>
      <c r="AJ49" s="693">
        <v>0</v>
      </c>
      <c r="AK49" s="693">
        <v>0</v>
      </c>
      <c r="AL49" s="693">
        <v>1984</v>
      </c>
      <c r="AM49" s="693"/>
      <c r="AN49" s="693">
        <v>68263</v>
      </c>
      <c r="AO49" s="696">
        <v>46023</v>
      </c>
      <c r="AP49" s="696">
        <v>46387</v>
      </c>
      <c r="AQ49" s="235" t="s">
        <v>660</v>
      </c>
    </row>
    <row r="50" spans="1:43" s="697" customFormat="1" ht="105">
      <c r="A50" s="688">
        <v>2</v>
      </c>
      <c r="B50" s="688" t="s">
        <v>691</v>
      </c>
      <c r="C50" s="689">
        <v>32</v>
      </c>
      <c r="D50" s="688" t="s">
        <v>760</v>
      </c>
      <c r="E50" s="689">
        <v>3205</v>
      </c>
      <c r="F50" s="689" t="s">
        <v>389</v>
      </c>
      <c r="G50" s="689" t="s">
        <v>814</v>
      </c>
      <c r="H50" s="689" t="s">
        <v>815</v>
      </c>
      <c r="I50" s="689" t="s">
        <v>816</v>
      </c>
      <c r="J50" s="689" t="s">
        <v>817</v>
      </c>
      <c r="K50" s="721">
        <v>1000</v>
      </c>
      <c r="L50" s="721"/>
      <c r="M50" s="721">
        <f t="shared" si="0"/>
        <v>1000</v>
      </c>
      <c r="N50" s="691">
        <v>2024003630067</v>
      </c>
      <c r="O50" s="194" t="s">
        <v>811</v>
      </c>
      <c r="P50" s="744" t="s">
        <v>818</v>
      </c>
      <c r="Q50" s="223">
        <v>190000000</v>
      </c>
      <c r="R50" s="232"/>
      <c r="S50" s="232"/>
      <c r="T50" s="232"/>
      <c r="U50" s="213"/>
      <c r="V50" s="693" t="s">
        <v>819</v>
      </c>
      <c r="W50" s="693">
        <v>20</v>
      </c>
      <c r="X50" s="693" t="s">
        <v>659</v>
      </c>
      <c r="Y50" s="693">
        <v>35360</v>
      </c>
      <c r="Z50" s="693">
        <v>32903</v>
      </c>
      <c r="AA50" s="693">
        <v>12083</v>
      </c>
      <c r="AB50" s="693">
        <v>2669</v>
      </c>
      <c r="AC50" s="693">
        <v>44767</v>
      </c>
      <c r="AD50" s="693">
        <v>8744</v>
      </c>
      <c r="AE50" s="693">
        <v>1160</v>
      </c>
      <c r="AF50" s="693">
        <v>260</v>
      </c>
      <c r="AG50" s="693">
        <v>0</v>
      </c>
      <c r="AH50" s="693">
        <v>0</v>
      </c>
      <c r="AI50" s="693">
        <v>0</v>
      </c>
      <c r="AJ50" s="693">
        <v>0</v>
      </c>
      <c r="AK50" s="693">
        <v>0</v>
      </c>
      <c r="AL50" s="693">
        <v>1984</v>
      </c>
      <c r="AM50" s="693"/>
      <c r="AN50" s="693">
        <v>68263</v>
      </c>
      <c r="AO50" s="696">
        <v>46023</v>
      </c>
      <c r="AP50" s="696">
        <v>46387</v>
      </c>
      <c r="AQ50" s="235" t="s">
        <v>660</v>
      </c>
    </row>
    <row r="51" spans="1:43" s="697" customFormat="1" ht="89.25" customHeight="1">
      <c r="A51" s="693">
        <v>2</v>
      </c>
      <c r="B51" s="693" t="s">
        <v>691</v>
      </c>
      <c r="C51" s="693">
        <v>32</v>
      </c>
      <c r="D51" s="693" t="s">
        <v>760</v>
      </c>
      <c r="E51" s="693" t="s">
        <v>820</v>
      </c>
      <c r="F51" s="693" t="s">
        <v>821</v>
      </c>
      <c r="G51" s="693">
        <v>3206016</v>
      </c>
      <c r="H51" s="693" t="s">
        <v>822</v>
      </c>
      <c r="I51" s="693">
        <v>320601600</v>
      </c>
      <c r="J51" s="693" t="s">
        <v>823</v>
      </c>
      <c r="K51" s="693">
        <v>45</v>
      </c>
      <c r="L51" s="693"/>
      <c r="M51" s="693">
        <f t="shared" si="0"/>
        <v>45</v>
      </c>
      <c r="N51" s="745">
        <v>2024003630068</v>
      </c>
      <c r="O51" s="693" t="s">
        <v>824</v>
      </c>
      <c r="P51" s="235" t="s">
        <v>825</v>
      </c>
      <c r="Q51" s="182">
        <v>33000000</v>
      </c>
      <c r="R51" s="232"/>
      <c r="S51" s="232"/>
      <c r="T51" s="232"/>
      <c r="U51" s="213"/>
      <c r="V51" s="693" t="s">
        <v>826</v>
      </c>
      <c r="W51" s="693">
        <v>20</v>
      </c>
      <c r="X51" s="693" t="s">
        <v>659</v>
      </c>
      <c r="Y51" s="693">
        <v>35360</v>
      </c>
      <c r="Z51" s="693">
        <v>32903</v>
      </c>
      <c r="AA51" s="693">
        <v>12083</v>
      </c>
      <c r="AB51" s="693">
        <v>2669</v>
      </c>
      <c r="AC51" s="693">
        <v>44767</v>
      </c>
      <c r="AD51" s="693">
        <v>8744</v>
      </c>
      <c r="AE51" s="693">
        <v>1160</v>
      </c>
      <c r="AF51" s="693">
        <v>260</v>
      </c>
      <c r="AG51" s="693">
        <v>0</v>
      </c>
      <c r="AH51" s="693">
        <v>0</v>
      </c>
      <c r="AI51" s="693">
        <v>0</v>
      </c>
      <c r="AJ51" s="693">
        <v>0</v>
      </c>
      <c r="AK51" s="693">
        <v>0</v>
      </c>
      <c r="AL51" s="693">
        <v>1984</v>
      </c>
      <c r="AM51" s="693"/>
      <c r="AN51" s="693">
        <v>68263</v>
      </c>
      <c r="AO51" s="696">
        <v>46023</v>
      </c>
      <c r="AP51" s="696">
        <v>46387</v>
      </c>
      <c r="AQ51" s="235" t="s">
        <v>660</v>
      </c>
    </row>
    <row r="52" spans="1:43" s="697" customFormat="1" ht="84.75" customHeight="1">
      <c r="A52" s="693">
        <v>2</v>
      </c>
      <c r="B52" s="693" t="s">
        <v>691</v>
      </c>
      <c r="C52" s="693">
        <v>32</v>
      </c>
      <c r="D52" s="693" t="s">
        <v>760</v>
      </c>
      <c r="E52" s="693" t="s">
        <v>820</v>
      </c>
      <c r="F52" s="693" t="s">
        <v>821</v>
      </c>
      <c r="G52" s="693">
        <v>3206016</v>
      </c>
      <c r="H52" s="693" t="s">
        <v>822</v>
      </c>
      <c r="I52" s="693">
        <v>320601600</v>
      </c>
      <c r="J52" s="693" t="s">
        <v>823</v>
      </c>
      <c r="K52" s="693">
        <v>45</v>
      </c>
      <c r="L52" s="693"/>
      <c r="M52" s="693">
        <f t="shared" si="0"/>
        <v>45</v>
      </c>
      <c r="N52" s="745">
        <v>2024003630068</v>
      </c>
      <c r="O52" s="693" t="s">
        <v>824</v>
      </c>
      <c r="P52" s="235" t="s">
        <v>827</v>
      </c>
      <c r="Q52" s="182">
        <f>200000000-Q51</f>
        <v>167000000</v>
      </c>
      <c r="R52" s="232">
        <v>17550000</v>
      </c>
      <c r="S52" s="232"/>
      <c r="T52" s="232"/>
      <c r="U52" s="213"/>
      <c r="V52" s="693" t="s">
        <v>826</v>
      </c>
      <c r="W52" s="693">
        <v>20</v>
      </c>
      <c r="X52" s="693" t="s">
        <v>659</v>
      </c>
      <c r="Y52" s="693">
        <v>35360</v>
      </c>
      <c r="Z52" s="693">
        <v>32903</v>
      </c>
      <c r="AA52" s="693">
        <v>12083</v>
      </c>
      <c r="AB52" s="693">
        <v>2669</v>
      </c>
      <c r="AC52" s="693">
        <v>44767</v>
      </c>
      <c r="AD52" s="693">
        <v>8744</v>
      </c>
      <c r="AE52" s="693">
        <v>1160</v>
      </c>
      <c r="AF52" s="693">
        <v>260</v>
      </c>
      <c r="AG52" s="693">
        <v>0</v>
      </c>
      <c r="AH52" s="693">
        <v>0</v>
      </c>
      <c r="AI52" s="693">
        <v>0</v>
      </c>
      <c r="AJ52" s="693">
        <v>0</v>
      </c>
      <c r="AK52" s="693">
        <v>0</v>
      </c>
      <c r="AL52" s="693">
        <v>1984</v>
      </c>
      <c r="AM52" s="693"/>
      <c r="AN52" s="693">
        <v>68263</v>
      </c>
      <c r="AO52" s="696">
        <v>46023</v>
      </c>
      <c r="AP52" s="696">
        <v>46387</v>
      </c>
      <c r="AQ52" s="235" t="s">
        <v>660</v>
      </c>
    </row>
    <row r="53" spans="1:43" s="697" customFormat="1" ht="121.5">
      <c r="A53" s="693">
        <v>2</v>
      </c>
      <c r="B53" s="693" t="s">
        <v>691</v>
      </c>
      <c r="C53" s="693">
        <v>32</v>
      </c>
      <c r="D53" s="693" t="s">
        <v>760</v>
      </c>
      <c r="E53" s="693" t="s">
        <v>820</v>
      </c>
      <c r="F53" s="693" t="s">
        <v>821</v>
      </c>
      <c r="G53" s="693" t="s">
        <v>828</v>
      </c>
      <c r="H53" s="693" t="s">
        <v>829</v>
      </c>
      <c r="I53" s="693" t="s">
        <v>830</v>
      </c>
      <c r="J53" s="693" t="s">
        <v>831</v>
      </c>
      <c r="K53" s="693">
        <v>2</v>
      </c>
      <c r="L53" s="693"/>
      <c r="M53" s="693">
        <f t="shared" si="0"/>
        <v>2</v>
      </c>
      <c r="N53" s="745">
        <v>2024003630068</v>
      </c>
      <c r="O53" s="693" t="s">
        <v>824</v>
      </c>
      <c r="P53" s="235" t="s">
        <v>832</v>
      </c>
      <c r="Q53" s="182">
        <f>110000000-Q54</f>
        <v>105000000</v>
      </c>
      <c r="R53" s="232">
        <f>16000000</f>
        <v>16000000</v>
      </c>
      <c r="S53" s="232"/>
      <c r="T53" s="232"/>
      <c r="U53" s="213"/>
      <c r="V53" s="693" t="s">
        <v>833</v>
      </c>
      <c r="W53" s="693">
        <v>20</v>
      </c>
      <c r="X53" s="693" t="s">
        <v>659</v>
      </c>
      <c r="Y53" s="693">
        <v>35360</v>
      </c>
      <c r="Z53" s="693">
        <v>32903</v>
      </c>
      <c r="AA53" s="693">
        <v>12083</v>
      </c>
      <c r="AB53" s="693">
        <v>2669</v>
      </c>
      <c r="AC53" s="693">
        <v>44767</v>
      </c>
      <c r="AD53" s="693">
        <v>8744</v>
      </c>
      <c r="AE53" s="693">
        <v>1160</v>
      </c>
      <c r="AF53" s="693">
        <v>260</v>
      </c>
      <c r="AG53" s="693">
        <v>0</v>
      </c>
      <c r="AH53" s="693">
        <v>0</v>
      </c>
      <c r="AI53" s="693">
        <v>0</v>
      </c>
      <c r="AJ53" s="693">
        <v>0</v>
      </c>
      <c r="AK53" s="693">
        <v>0</v>
      </c>
      <c r="AL53" s="693">
        <v>1984</v>
      </c>
      <c r="AM53" s="693"/>
      <c r="AN53" s="693">
        <v>68263</v>
      </c>
      <c r="AO53" s="696">
        <v>46023</v>
      </c>
      <c r="AP53" s="696">
        <v>46387</v>
      </c>
      <c r="AQ53" s="235" t="s">
        <v>660</v>
      </c>
    </row>
    <row r="54" spans="1:43" s="697" customFormat="1" ht="120">
      <c r="A54" s="693">
        <v>2</v>
      </c>
      <c r="B54" s="693" t="s">
        <v>691</v>
      </c>
      <c r="C54" s="693">
        <v>32</v>
      </c>
      <c r="D54" s="693" t="s">
        <v>760</v>
      </c>
      <c r="E54" s="693" t="s">
        <v>820</v>
      </c>
      <c r="F54" s="693" t="s">
        <v>821</v>
      </c>
      <c r="G54" s="693" t="s">
        <v>828</v>
      </c>
      <c r="H54" s="693" t="s">
        <v>829</v>
      </c>
      <c r="I54" s="693" t="s">
        <v>830</v>
      </c>
      <c r="J54" s="693" t="s">
        <v>831</v>
      </c>
      <c r="K54" s="693">
        <v>2</v>
      </c>
      <c r="L54" s="693"/>
      <c r="M54" s="693">
        <f t="shared" si="0"/>
        <v>2</v>
      </c>
      <c r="N54" s="745">
        <v>2024003630068</v>
      </c>
      <c r="O54" s="693" t="s">
        <v>824</v>
      </c>
      <c r="P54" s="235" t="s">
        <v>834</v>
      </c>
      <c r="Q54" s="182">
        <v>5000000</v>
      </c>
      <c r="R54" s="232"/>
      <c r="S54" s="232"/>
      <c r="T54" s="232"/>
      <c r="U54" s="213"/>
      <c r="V54" s="693" t="s">
        <v>835</v>
      </c>
      <c r="W54" s="693">
        <v>20</v>
      </c>
      <c r="X54" s="693" t="s">
        <v>659</v>
      </c>
      <c r="Y54" s="693">
        <v>35360</v>
      </c>
      <c r="Z54" s="693">
        <v>32903</v>
      </c>
      <c r="AA54" s="693">
        <v>12083</v>
      </c>
      <c r="AB54" s="693">
        <v>2669</v>
      </c>
      <c r="AC54" s="693">
        <v>44767</v>
      </c>
      <c r="AD54" s="693">
        <v>8744</v>
      </c>
      <c r="AE54" s="693">
        <v>1160</v>
      </c>
      <c r="AF54" s="693">
        <v>260</v>
      </c>
      <c r="AG54" s="693">
        <v>0</v>
      </c>
      <c r="AH54" s="693">
        <v>0</v>
      </c>
      <c r="AI54" s="693">
        <v>0</v>
      </c>
      <c r="AJ54" s="693">
        <v>0</v>
      </c>
      <c r="AK54" s="693">
        <v>0</v>
      </c>
      <c r="AL54" s="693">
        <v>1984</v>
      </c>
      <c r="AM54" s="693"/>
      <c r="AN54" s="693">
        <v>68263</v>
      </c>
      <c r="AO54" s="696">
        <v>46023</v>
      </c>
      <c r="AP54" s="696">
        <v>46387</v>
      </c>
      <c r="AQ54" s="235" t="s">
        <v>660</v>
      </c>
    </row>
    <row r="55" spans="1:43" s="697" customFormat="1" ht="75">
      <c r="A55" s="693">
        <v>2</v>
      </c>
      <c r="B55" s="693" t="s">
        <v>691</v>
      </c>
      <c r="C55" s="693">
        <v>32</v>
      </c>
      <c r="D55" s="693" t="s">
        <v>760</v>
      </c>
      <c r="E55" s="693" t="s">
        <v>820</v>
      </c>
      <c r="F55" s="693" t="s">
        <v>821</v>
      </c>
      <c r="G55" s="693" t="s">
        <v>836</v>
      </c>
      <c r="H55" s="693" t="s">
        <v>837</v>
      </c>
      <c r="I55" s="693">
        <v>320601400</v>
      </c>
      <c r="J55" s="693" t="s">
        <v>838</v>
      </c>
      <c r="K55" s="693">
        <v>20000</v>
      </c>
      <c r="L55" s="693"/>
      <c r="M55" s="693">
        <f t="shared" si="0"/>
        <v>20000</v>
      </c>
      <c r="N55" s="745">
        <v>2024003630068</v>
      </c>
      <c r="O55" s="693" t="s">
        <v>824</v>
      </c>
      <c r="P55" s="235" t="s">
        <v>839</v>
      </c>
      <c r="Q55" s="223">
        <v>60000000</v>
      </c>
      <c r="R55" s="232"/>
      <c r="S55" s="232"/>
      <c r="T55" s="232"/>
      <c r="U55" s="213"/>
      <c r="V55" s="693" t="s">
        <v>840</v>
      </c>
      <c r="W55" s="693">
        <v>20</v>
      </c>
      <c r="X55" s="693" t="s">
        <v>659</v>
      </c>
      <c r="Y55" s="693">
        <v>35360</v>
      </c>
      <c r="Z55" s="693">
        <v>32903</v>
      </c>
      <c r="AA55" s="693">
        <v>12083</v>
      </c>
      <c r="AB55" s="693">
        <v>2669</v>
      </c>
      <c r="AC55" s="693">
        <v>44767</v>
      </c>
      <c r="AD55" s="693">
        <v>8744</v>
      </c>
      <c r="AE55" s="693">
        <v>1160</v>
      </c>
      <c r="AF55" s="693">
        <v>260</v>
      </c>
      <c r="AG55" s="693">
        <v>0</v>
      </c>
      <c r="AH55" s="693">
        <v>0</v>
      </c>
      <c r="AI55" s="693">
        <v>0</v>
      </c>
      <c r="AJ55" s="693">
        <v>0</v>
      </c>
      <c r="AK55" s="693">
        <v>0</v>
      </c>
      <c r="AL55" s="693">
        <v>1984</v>
      </c>
      <c r="AM55" s="693"/>
      <c r="AN55" s="693">
        <v>68263</v>
      </c>
      <c r="AO55" s="696">
        <v>46023</v>
      </c>
      <c r="AP55" s="696">
        <v>46387</v>
      </c>
      <c r="AQ55" s="235" t="s">
        <v>660</v>
      </c>
    </row>
    <row r="56" spans="1:43" s="697" customFormat="1" ht="105">
      <c r="A56" s="693">
        <v>2</v>
      </c>
      <c r="B56" s="693" t="s">
        <v>691</v>
      </c>
      <c r="C56" s="693">
        <v>32</v>
      </c>
      <c r="D56" s="693" t="s">
        <v>760</v>
      </c>
      <c r="E56" s="693" t="s">
        <v>820</v>
      </c>
      <c r="F56" s="693" t="s">
        <v>821</v>
      </c>
      <c r="G56" s="693">
        <v>3206003</v>
      </c>
      <c r="H56" s="693" t="s">
        <v>841</v>
      </c>
      <c r="I56" s="693">
        <v>320600300</v>
      </c>
      <c r="J56" s="693" t="s">
        <v>842</v>
      </c>
      <c r="K56" s="693">
        <v>1</v>
      </c>
      <c r="L56" s="693"/>
      <c r="M56" s="693">
        <f t="shared" si="0"/>
        <v>1</v>
      </c>
      <c r="N56" s="745">
        <v>2024003630068</v>
      </c>
      <c r="O56" s="693" t="s">
        <v>824</v>
      </c>
      <c r="P56" s="235" t="s">
        <v>843</v>
      </c>
      <c r="Q56" s="223">
        <v>175000000</v>
      </c>
      <c r="R56" s="232">
        <v>14800000</v>
      </c>
      <c r="S56" s="232"/>
      <c r="T56" s="232"/>
      <c r="U56" s="213"/>
      <c r="V56" s="693" t="s">
        <v>844</v>
      </c>
      <c r="W56" s="693">
        <v>20</v>
      </c>
      <c r="X56" s="693" t="s">
        <v>659</v>
      </c>
      <c r="Y56" s="693">
        <v>35360</v>
      </c>
      <c r="Z56" s="693">
        <v>32903</v>
      </c>
      <c r="AA56" s="693">
        <v>12083</v>
      </c>
      <c r="AB56" s="693">
        <v>2669</v>
      </c>
      <c r="AC56" s="693">
        <v>44767</v>
      </c>
      <c r="AD56" s="693">
        <v>8744</v>
      </c>
      <c r="AE56" s="693">
        <v>1160</v>
      </c>
      <c r="AF56" s="693">
        <v>260</v>
      </c>
      <c r="AG56" s="693">
        <v>0</v>
      </c>
      <c r="AH56" s="693">
        <v>0</v>
      </c>
      <c r="AI56" s="693">
        <v>0</v>
      </c>
      <c r="AJ56" s="693">
        <v>0</v>
      </c>
      <c r="AK56" s="693">
        <v>0</v>
      </c>
      <c r="AL56" s="693">
        <v>1984</v>
      </c>
      <c r="AM56" s="693"/>
      <c r="AN56" s="693">
        <v>68263</v>
      </c>
      <c r="AO56" s="696">
        <v>46023</v>
      </c>
      <c r="AP56" s="696">
        <v>46387</v>
      </c>
      <c r="AQ56" s="235" t="s">
        <v>660</v>
      </c>
    </row>
    <row r="57" spans="1:43" s="697" customFormat="1" ht="119.25" customHeight="1">
      <c r="A57" s="693">
        <v>2</v>
      </c>
      <c r="B57" s="693" t="s">
        <v>691</v>
      </c>
      <c r="C57" s="693">
        <v>32</v>
      </c>
      <c r="D57" s="693" t="s">
        <v>760</v>
      </c>
      <c r="E57" s="693">
        <v>3208</v>
      </c>
      <c r="F57" s="693" t="s">
        <v>845</v>
      </c>
      <c r="G57" s="693" t="s">
        <v>846</v>
      </c>
      <c r="H57" s="693" t="s">
        <v>847</v>
      </c>
      <c r="I57" s="693">
        <v>320801000</v>
      </c>
      <c r="J57" s="693" t="s">
        <v>565</v>
      </c>
      <c r="K57" s="693">
        <v>1500</v>
      </c>
      <c r="L57" s="693"/>
      <c r="M57" s="693">
        <f t="shared" si="0"/>
        <v>1500</v>
      </c>
      <c r="N57" s="745">
        <v>2024003630080</v>
      </c>
      <c r="O57" s="746" t="s">
        <v>848</v>
      </c>
      <c r="P57" s="235" t="s">
        <v>849</v>
      </c>
      <c r="Q57" s="211">
        <v>90000000</v>
      </c>
      <c r="R57" s="212">
        <f>3600000+16000000+12000000</f>
        <v>31600000</v>
      </c>
      <c r="S57" s="212"/>
      <c r="T57" s="212"/>
      <c r="U57" s="213">
        <f>+Q57-R57+S57-T57</f>
        <v>58400000</v>
      </c>
      <c r="V57" s="693" t="s">
        <v>850</v>
      </c>
      <c r="W57" s="693">
        <v>20</v>
      </c>
      <c r="X57" s="693" t="s">
        <v>659</v>
      </c>
      <c r="Y57" s="693">
        <v>35360</v>
      </c>
      <c r="Z57" s="693">
        <v>32903</v>
      </c>
      <c r="AA57" s="693">
        <v>12083</v>
      </c>
      <c r="AB57" s="693">
        <v>2669</v>
      </c>
      <c r="AC57" s="693">
        <v>44767</v>
      </c>
      <c r="AD57" s="693">
        <v>8744</v>
      </c>
      <c r="AE57" s="693">
        <v>1160</v>
      </c>
      <c r="AF57" s="693">
        <v>260</v>
      </c>
      <c r="AG57" s="693">
        <v>0</v>
      </c>
      <c r="AH57" s="693">
        <v>0</v>
      </c>
      <c r="AI57" s="693">
        <v>0</v>
      </c>
      <c r="AJ57" s="693">
        <v>0</v>
      </c>
      <c r="AK57" s="693">
        <v>0</v>
      </c>
      <c r="AL57" s="693">
        <v>1984</v>
      </c>
      <c r="AM57" s="693"/>
      <c r="AN57" s="693">
        <v>68263</v>
      </c>
      <c r="AO57" s="696">
        <v>46023</v>
      </c>
      <c r="AP57" s="696">
        <v>46387</v>
      </c>
      <c r="AQ57" s="235" t="s">
        <v>660</v>
      </c>
    </row>
    <row r="58" spans="1:43" s="697" customFormat="1" ht="90">
      <c r="A58" s="693">
        <v>4</v>
      </c>
      <c r="B58" s="693" t="s">
        <v>253</v>
      </c>
      <c r="C58" s="693" t="s">
        <v>433</v>
      </c>
      <c r="D58" s="693" t="s">
        <v>851</v>
      </c>
      <c r="E58" s="693">
        <v>4501</v>
      </c>
      <c r="F58" s="693" t="s">
        <v>416</v>
      </c>
      <c r="G58" s="693" t="s">
        <v>852</v>
      </c>
      <c r="H58" s="693" t="s">
        <v>853</v>
      </c>
      <c r="I58" s="693" t="s">
        <v>854</v>
      </c>
      <c r="J58" s="693" t="s">
        <v>855</v>
      </c>
      <c r="K58" s="721">
        <v>3</v>
      </c>
      <c r="L58" s="721"/>
      <c r="M58" s="721">
        <f t="shared" si="0"/>
        <v>3</v>
      </c>
      <c r="N58" s="745">
        <v>2024003630062</v>
      </c>
      <c r="O58" s="693" t="s">
        <v>856</v>
      </c>
      <c r="P58" s="747" t="s">
        <v>857</v>
      </c>
      <c r="Q58" s="223">
        <f>60000000</f>
        <v>60000000</v>
      </c>
      <c r="R58" s="233">
        <f>9200000+8000000+14800000</f>
        <v>32000000</v>
      </c>
      <c r="S58" s="233"/>
      <c r="T58" s="233"/>
      <c r="U58" s="222"/>
      <c r="V58" s="698" t="s">
        <v>858</v>
      </c>
      <c r="W58" s="693">
        <v>20</v>
      </c>
      <c r="X58" s="693" t="s">
        <v>659</v>
      </c>
      <c r="Y58" s="693">
        <v>35360</v>
      </c>
      <c r="Z58" s="693">
        <v>32903</v>
      </c>
      <c r="AA58" s="693">
        <v>12083</v>
      </c>
      <c r="AB58" s="693">
        <v>2669</v>
      </c>
      <c r="AC58" s="693">
        <v>44767</v>
      </c>
      <c r="AD58" s="693">
        <v>8744</v>
      </c>
      <c r="AE58" s="693">
        <v>1160</v>
      </c>
      <c r="AF58" s="693">
        <v>260</v>
      </c>
      <c r="AG58" s="693">
        <v>0</v>
      </c>
      <c r="AH58" s="693">
        <v>0</v>
      </c>
      <c r="AI58" s="693">
        <v>0</v>
      </c>
      <c r="AJ58" s="693">
        <v>0</v>
      </c>
      <c r="AK58" s="693">
        <v>0</v>
      </c>
      <c r="AL58" s="693">
        <v>1984</v>
      </c>
      <c r="AM58" s="693"/>
      <c r="AN58" s="693">
        <v>68263</v>
      </c>
      <c r="AO58" s="696">
        <v>46023</v>
      </c>
      <c r="AP58" s="696">
        <v>46387</v>
      </c>
      <c r="AQ58" s="235" t="s">
        <v>660</v>
      </c>
    </row>
    <row r="59" spans="1:43" s="697" customFormat="1" ht="90">
      <c r="A59" s="693">
        <v>4</v>
      </c>
      <c r="B59" s="693" t="s">
        <v>253</v>
      </c>
      <c r="C59" s="693" t="s">
        <v>433</v>
      </c>
      <c r="D59" s="693" t="s">
        <v>851</v>
      </c>
      <c r="E59" s="693">
        <v>4501</v>
      </c>
      <c r="F59" s="693" t="s">
        <v>416</v>
      </c>
      <c r="G59" s="693" t="s">
        <v>859</v>
      </c>
      <c r="H59" s="693" t="s">
        <v>328</v>
      </c>
      <c r="I59" s="693">
        <v>450104905</v>
      </c>
      <c r="J59" s="693" t="s">
        <v>534</v>
      </c>
      <c r="K59" s="721">
        <v>25</v>
      </c>
      <c r="L59" s="721"/>
      <c r="M59" s="721">
        <f t="shared" si="0"/>
        <v>25</v>
      </c>
      <c r="N59" s="745">
        <v>2024003630062</v>
      </c>
      <c r="O59" s="693" t="s">
        <v>856</v>
      </c>
      <c r="P59" s="748" t="s">
        <v>860</v>
      </c>
      <c r="Q59" s="223">
        <v>70000000</v>
      </c>
      <c r="R59" s="229"/>
      <c r="S59" s="229"/>
      <c r="T59" s="229"/>
      <c r="U59" s="210"/>
      <c r="V59" s="699" t="s">
        <v>861</v>
      </c>
      <c r="W59" s="693">
        <v>20</v>
      </c>
      <c r="X59" s="693" t="s">
        <v>659</v>
      </c>
      <c r="Y59" s="693">
        <v>35360</v>
      </c>
      <c r="Z59" s="693">
        <v>32903</v>
      </c>
      <c r="AA59" s="693">
        <v>12083</v>
      </c>
      <c r="AB59" s="693">
        <v>2669</v>
      </c>
      <c r="AC59" s="693">
        <v>44767</v>
      </c>
      <c r="AD59" s="693">
        <v>8744</v>
      </c>
      <c r="AE59" s="693">
        <v>1160</v>
      </c>
      <c r="AF59" s="693">
        <v>260</v>
      </c>
      <c r="AG59" s="693">
        <v>0</v>
      </c>
      <c r="AH59" s="693">
        <v>0</v>
      </c>
      <c r="AI59" s="693">
        <v>0</v>
      </c>
      <c r="AJ59" s="693">
        <v>0</v>
      </c>
      <c r="AK59" s="693">
        <v>0</v>
      </c>
      <c r="AL59" s="693">
        <v>1984</v>
      </c>
      <c r="AM59" s="693"/>
      <c r="AN59" s="693">
        <v>68263</v>
      </c>
      <c r="AO59" s="696">
        <v>46023</v>
      </c>
      <c r="AP59" s="696">
        <v>46387</v>
      </c>
      <c r="AQ59" s="235" t="s">
        <v>660</v>
      </c>
    </row>
    <row r="60" spans="1:43" s="697" customFormat="1" ht="91.5">
      <c r="A60" s="693">
        <v>4</v>
      </c>
      <c r="B60" s="693" t="s">
        <v>253</v>
      </c>
      <c r="C60" s="693" t="s">
        <v>433</v>
      </c>
      <c r="D60" s="693" t="s">
        <v>851</v>
      </c>
      <c r="E60" s="693">
        <v>4501</v>
      </c>
      <c r="F60" s="693" t="s">
        <v>416</v>
      </c>
      <c r="G60" s="693">
        <v>4501061</v>
      </c>
      <c r="H60" s="693" t="s">
        <v>862</v>
      </c>
      <c r="I60" s="693">
        <v>450106100</v>
      </c>
      <c r="J60" s="693" t="s">
        <v>863</v>
      </c>
      <c r="K60" s="721">
        <v>3000</v>
      </c>
      <c r="L60" s="721"/>
      <c r="M60" s="721">
        <f t="shared" si="0"/>
        <v>3000</v>
      </c>
      <c r="N60" s="745">
        <v>2024003630062</v>
      </c>
      <c r="O60" s="693" t="s">
        <v>856</v>
      </c>
      <c r="P60" s="235" t="s">
        <v>864</v>
      </c>
      <c r="Q60" s="223">
        <v>130000000</v>
      </c>
      <c r="R60" s="230">
        <f>10000000+90000000+8000000+9200000</f>
        <v>117200000</v>
      </c>
      <c r="S60" s="230"/>
      <c r="T60" s="230"/>
      <c r="U60" s="213"/>
      <c r="V60" s="738" t="s">
        <v>865</v>
      </c>
      <c r="W60" s="693">
        <v>20</v>
      </c>
      <c r="X60" s="693" t="s">
        <v>659</v>
      </c>
      <c r="Y60" s="693">
        <v>35360</v>
      </c>
      <c r="Z60" s="693">
        <v>32903</v>
      </c>
      <c r="AA60" s="693">
        <v>12083</v>
      </c>
      <c r="AB60" s="693">
        <v>2669</v>
      </c>
      <c r="AC60" s="693">
        <v>44767</v>
      </c>
      <c r="AD60" s="693">
        <v>8744</v>
      </c>
      <c r="AE60" s="693">
        <v>1160</v>
      </c>
      <c r="AF60" s="693">
        <v>260</v>
      </c>
      <c r="AG60" s="693">
        <v>0</v>
      </c>
      <c r="AH60" s="693">
        <v>0</v>
      </c>
      <c r="AI60" s="693">
        <v>0</v>
      </c>
      <c r="AJ60" s="693">
        <v>0</v>
      </c>
      <c r="AK60" s="693">
        <v>0</v>
      </c>
      <c r="AL60" s="693">
        <v>1984</v>
      </c>
      <c r="AM60" s="693"/>
      <c r="AN60" s="693">
        <v>68263</v>
      </c>
      <c r="AO60" s="696">
        <v>46023</v>
      </c>
      <c r="AP60" s="696">
        <v>46387</v>
      </c>
      <c r="AQ60" s="235" t="s">
        <v>660</v>
      </c>
    </row>
    <row r="61" spans="1:43" s="697" customFormat="1" ht="90">
      <c r="A61" s="693">
        <v>4</v>
      </c>
      <c r="B61" s="693" t="s">
        <v>253</v>
      </c>
      <c r="C61" s="693" t="s">
        <v>433</v>
      </c>
      <c r="D61" s="693" t="s">
        <v>851</v>
      </c>
      <c r="E61" s="693">
        <v>4501</v>
      </c>
      <c r="F61" s="693" t="s">
        <v>416</v>
      </c>
      <c r="G61" s="693">
        <v>4501060</v>
      </c>
      <c r="H61" s="689" t="s">
        <v>866</v>
      </c>
      <c r="I61" s="693">
        <v>450106000</v>
      </c>
      <c r="J61" s="693" t="s">
        <v>866</v>
      </c>
      <c r="K61" s="691">
        <v>2</v>
      </c>
      <c r="L61" s="691">
        <v>2</v>
      </c>
      <c r="M61" s="691">
        <f t="shared" si="0"/>
        <v>4</v>
      </c>
      <c r="N61" s="745">
        <v>2024003630062</v>
      </c>
      <c r="O61" s="693" t="s">
        <v>856</v>
      </c>
      <c r="P61" s="705" t="s">
        <v>867</v>
      </c>
      <c r="Q61" s="223">
        <v>130000000</v>
      </c>
      <c r="R61" s="234"/>
      <c r="S61" s="179"/>
      <c r="T61" s="179"/>
      <c r="U61" s="190"/>
      <c r="V61" s="701" t="s">
        <v>868</v>
      </c>
      <c r="W61" s="749">
        <v>20</v>
      </c>
      <c r="X61" s="713" t="s">
        <v>659</v>
      </c>
      <c r="Y61" s="713">
        <v>35360</v>
      </c>
      <c r="Z61" s="693">
        <v>32903</v>
      </c>
      <c r="AA61" s="693">
        <v>12083</v>
      </c>
      <c r="AB61" s="693">
        <v>2669</v>
      </c>
      <c r="AC61" s="693">
        <v>44767</v>
      </c>
      <c r="AD61" s="693">
        <v>8744</v>
      </c>
      <c r="AE61" s="693">
        <v>1160</v>
      </c>
      <c r="AF61" s="693">
        <v>260</v>
      </c>
      <c r="AG61" s="693">
        <v>0</v>
      </c>
      <c r="AH61" s="693">
        <v>0</v>
      </c>
      <c r="AI61" s="693">
        <v>0</v>
      </c>
      <c r="AJ61" s="693">
        <v>0</v>
      </c>
      <c r="AK61" s="693">
        <v>0</v>
      </c>
      <c r="AL61" s="693">
        <v>1984</v>
      </c>
      <c r="AM61" s="693"/>
      <c r="AN61" s="693">
        <v>68263</v>
      </c>
      <c r="AO61" s="696">
        <v>46023</v>
      </c>
      <c r="AP61" s="696">
        <v>46387</v>
      </c>
      <c r="AQ61" s="235" t="s">
        <v>660</v>
      </c>
    </row>
    <row r="62" spans="1:43" s="697" customFormat="1" ht="90">
      <c r="A62" s="693">
        <v>4</v>
      </c>
      <c r="B62" s="693" t="s">
        <v>253</v>
      </c>
      <c r="C62" s="693" t="s">
        <v>433</v>
      </c>
      <c r="D62" s="693" t="s">
        <v>851</v>
      </c>
      <c r="E62" s="693">
        <v>4501</v>
      </c>
      <c r="F62" s="693" t="s">
        <v>416</v>
      </c>
      <c r="G62" s="693">
        <v>4501063</v>
      </c>
      <c r="H62" s="689" t="s">
        <v>869</v>
      </c>
      <c r="I62" s="693" t="s">
        <v>870</v>
      </c>
      <c r="J62" s="693" t="s">
        <v>871</v>
      </c>
      <c r="K62" s="750">
        <v>15</v>
      </c>
      <c r="L62" s="750"/>
      <c r="M62" s="750">
        <f>+K62+L62</f>
        <v>15</v>
      </c>
      <c r="N62" s="745">
        <v>2024003630062</v>
      </c>
      <c r="O62" s="693" t="s">
        <v>856</v>
      </c>
      <c r="P62" s="235" t="s">
        <v>872</v>
      </c>
      <c r="Q62" s="223">
        <v>50000000</v>
      </c>
      <c r="R62" s="215"/>
      <c r="S62" s="215"/>
      <c r="T62" s="215"/>
      <c r="U62" s="210"/>
      <c r="V62" s="711" t="s">
        <v>873</v>
      </c>
      <c r="W62" s="700">
        <v>20</v>
      </c>
      <c r="X62" s="700" t="s">
        <v>659</v>
      </c>
      <c r="Y62" s="700">
        <v>35360</v>
      </c>
      <c r="Z62" s="693">
        <v>32903</v>
      </c>
      <c r="AA62" s="693">
        <v>12083</v>
      </c>
      <c r="AB62" s="693">
        <v>2669</v>
      </c>
      <c r="AC62" s="693">
        <v>44767</v>
      </c>
      <c r="AD62" s="693">
        <v>8744</v>
      </c>
      <c r="AE62" s="693">
        <v>1160</v>
      </c>
      <c r="AF62" s="693">
        <v>260</v>
      </c>
      <c r="AG62" s="693">
        <v>0</v>
      </c>
      <c r="AH62" s="693">
        <v>0</v>
      </c>
      <c r="AI62" s="693">
        <v>0</v>
      </c>
      <c r="AJ62" s="693">
        <v>0</v>
      </c>
      <c r="AK62" s="693">
        <v>0</v>
      </c>
      <c r="AL62" s="693">
        <v>1984</v>
      </c>
      <c r="AM62" s="693"/>
      <c r="AN62" s="693">
        <v>68263</v>
      </c>
      <c r="AO62" s="696">
        <v>46023</v>
      </c>
      <c r="AP62" s="696">
        <v>46387</v>
      </c>
      <c r="AQ62" s="235" t="s">
        <v>660</v>
      </c>
    </row>
    <row r="63" spans="1:43" s="697" customFormat="1" ht="125.25" customHeight="1">
      <c r="A63" s="714">
        <v>2</v>
      </c>
      <c r="B63" s="714" t="s">
        <v>691</v>
      </c>
      <c r="C63" s="714">
        <v>17</v>
      </c>
      <c r="D63" s="714" t="s">
        <v>652</v>
      </c>
      <c r="E63" s="714">
        <v>1704</v>
      </c>
      <c r="F63" s="714" t="s">
        <v>874</v>
      </c>
      <c r="G63" s="714">
        <v>1704006</v>
      </c>
      <c r="H63" s="714" t="s">
        <v>875</v>
      </c>
      <c r="I63" s="714">
        <v>170400601</v>
      </c>
      <c r="J63" s="714" t="s">
        <v>876</v>
      </c>
      <c r="K63" s="751">
        <v>33</v>
      </c>
      <c r="L63" s="752"/>
      <c r="M63" s="752">
        <f>+K63+L63</f>
        <v>33</v>
      </c>
      <c r="N63" s="753">
        <v>2024003630056</v>
      </c>
      <c r="O63" s="714" t="s">
        <v>877</v>
      </c>
      <c r="P63" s="235" t="s">
        <v>878</v>
      </c>
      <c r="Q63" s="236">
        <f>60000000-Q64</f>
        <v>58000000</v>
      </c>
      <c r="R63" s="237">
        <f>14800000+7400000</f>
        <v>22200000</v>
      </c>
      <c r="S63" s="237"/>
      <c r="T63" s="237"/>
      <c r="U63" s="213">
        <f>+Q63-R63+S63-T63</f>
        <v>35800000</v>
      </c>
      <c r="V63" s="738" t="s">
        <v>879</v>
      </c>
      <c r="W63" s="714">
        <v>20</v>
      </c>
      <c r="X63" s="714" t="s">
        <v>659</v>
      </c>
      <c r="Y63" s="714">
        <v>35360</v>
      </c>
      <c r="Z63" s="714">
        <v>32903</v>
      </c>
      <c r="AA63" s="714">
        <v>12083</v>
      </c>
      <c r="AB63" s="714">
        <v>2669</v>
      </c>
      <c r="AC63" s="714">
        <v>44767</v>
      </c>
      <c r="AD63" s="714">
        <v>8744</v>
      </c>
      <c r="AE63" s="714">
        <v>1160</v>
      </c>
      <c r="AF63" s="714">
        <v>260</v>
      </c>
      <c r="AG63" s="714">
        <v>0</v>
      </c>
      <c r="AH63" s="714">
        <v>0</v>
      </c>
      <c r="AI63" s="714">
        <v>0</v>
      </c>
      <c r="AJ63" s="714">
        <v>0</v>
      </c>
      <c r="AK63" s="714">
        <v>0</v>
      </c>
      <c r="AL63" s="714">
        <v>1984</v>
      </c>
      <c r="AM63" s="714"/>
      <c r="AN63" s="714">
        <v>68263</v>
      </c>
      <c r="AO63" s="696">
        <v>46023</v>
      </c>
      <c r="AP63" s="696">
        <v>46387</v>
      </c>
      <c r="AQ63" s="235" t="s">
        <v>660</v>
      </c>
    </row>
    <row r="64" spans="1:43" s="697" customFormat="1" ht="114.75" customHeight="1">
      <c r="A64" s="714">
        <v>2</v>
      </c>
      <c r="B64" s="714" t="s">
        <v>691</v>
      </c>
      <c r="C64" s="714">
        <v>17</v>
      </c>
      <c r="D64" s="714" t="s">
        <v>652</v>
      </c>
      <c r="E64" s="714">
        <v>1704</v>
      </c>
      <c r="F64" s="714" t="s">
        <v>874</v>
      </c>
      <c r="G64" s="714">
        <v>1704006</v>
      </c>
      <c r="H64" s="714" t="s">
        <v>875</v>
      </c>
      <c r="I64" s="714">
        <v>170400601</v>
      </c>
      <c r="J64" s="714" t="s">
        <v>876</v>
      </c>
      <c r="K64" s="751">
        <v>33</v>
      </c>
      <c r="L64" s="752"/>
      <c r="M64" s="752">
        <f>+K64+L64</f>
        <v>33</v>
      </c>
      <c r="N64" s="753">
        <v>2024003630056</v>
      </c>
      <c r="O64" s="714" t="s">
        <v>877</v>
      </c>
      <c r="P64" s="235" t="s">
        <v>880</v>
      </c>
      <c r="Q64" s="236">
        <v>2000000</v>
      </c>
      <c r="R64" s="237"/>
      <c r="S64" s="237"/>
      <c r="T64" s="237"/>
      <c r="U64" s="213"/>
      <c r="V64" s="738" t="s">
        <v>881</v>
      </c>
      <c r="W64" s="714">
        <v>20</v>
      </c>
      <c r="X64" s="714" t="s">
        <v>659</v>
      </c>
      <c r="Y64" s="714">
        <v>35360</v>
      </c>
      <c r="Z64" s="714">
        <v>32903</v>
      </c>
      <c r="AA64" s="714">
        <v>12083</v>
      </c>
      <c r="AB64" s="714">
        <v>2669</v>
      </c>
      <c r="AC64" s="714">
        <v>44767</v>
      </c>
      <c r="AD64" s="714">
        <v>8744</v>
      </c>
      <c r="AE64" s="714">
        <v>1160</v>
      </c>
      <c r="AF64" s="714">
        <v>260</v>
      </c>
      <c r="AG64" s="714">
        <v>0</v>
      </c>
      <c r="AH64" s="714">
        <v>0</v>
      </c>
      <c r="AI64" s="714">
        <v>0</v>
      </c>
      <c r="AJ64" s="714">
        <v>0</v>
      </c>
      <c r="AK64" s="714">
        <v>0</v>
      </c>
      <c r="AL64" s="714">
        <v>1984</v>
      </c>
      <c r="AM64" s="714"/>
      <c r="AN64" s="714">
        <v>68263</v>
      </c>
      <c r="AO64" s="696">
        <v>46023</v>
      </c>
      <c r="AP64" s="696">
        <v>46387</v>
      </c>
      <c r="AQ64" s="235" t="s">
        <v>660</v>
      </c>
    </row>
    <row r="65" spans="1:44" s="697" customFormat="1" ht="135">
      <c r="A65" s="693">
        <v>2</v>
      </c>
      <c r="B65" s="714" t="s">
        <v>691</v>
      </c>
      <c r="C65" s="693">
        <v>32</v>
      </c>
      <c r="D65" s="693" t="s">
        <v>882</v>
      </c>
      <c r="E65" s="693">
        <v>3202</v>
      </c>
      <c r="F65" s="693" t="s">
        <v>775</v>
      </c>
      <c r="G65" s="693">
        <v>3202014</v>
      </c>
      <c r="H65" s="693" t="s">
        <v>883</v>
      </c>
      <c r="I65" s="693">
        <v>320201400</v>
      </c>
      <c r="J65" s="693" t="s">
        <v>565</v>
      </c>
      <c r="K65" s="693">
        <v>300</v>
      </c>
      <c r="L65" s="693"/>
      <c r="M65" s="693">
        <f>+K65+L65</f>
        <v>300</v>
      </c>
      <c r="N65" s="691">
        <v>2024003630144</v>
      </c>
      <c r="O65" s="754" t="s">
        <v>884</v>
      </c>
      <c r="P65" s="235" t="s">
        <v>885</v>
      </c>
      <c r="Q65" s="211">
        <v>30000000</v>
      </c>
      <c r="R65" s="212"/>
      <c r="S65" s="212"/>
      <c r="T65" s="212"/>
      <c r="U65" s="213"/>
      <c r="V65" s="692" t="s">
        <v>886</v>
      </c>
      <c r="W65" s="714">
        <v>20</v>
      </c>
      <c r="X65" s="714" t="s">
        <v>659</v>
      </c>
      <c r="Y65" s="714">
        <v>35360</v>
      </c>
      <c r="Z65" s="714">
        <v>32903</v>
      </c>
      <c r="AA65" s="714">
        <v>12083</v>
      </c>
      <c r="AB65" s="714">
        <v>2669</v>
      </c>
      <c r="AC65" s="714">
        <v>44767</v>
      </c>
      <c r="AD65" s="714">
        <v>8744</v>
      </c>
      <c r="AE65" s="714">
        <v>1160</v>
      </c>
      <c r="AF65" s="714">
        <v>260</v>
      </c>
      <c r="AG65" s="714">
        <v>0</v>
      </c>
      <c r="AH65" s="714">
        <v>0</v>
      </c>
      <c r="AI65" s="714">
        <v>0</v>
      </c>
      <c r="AJ65" s="714">
        <v>0</v>
      </c>
      <c r="AK65" s="714">
        <v>0</v>
      </c>
      <c r="AL65" s="714">
        <v>1984</v>
      </c>
      <c r="AM65" s="714"/>
      <c r="AN65" s="714">
        <v>68263</v>
      </c>
      <c r="AO65" s="696">
        <v>46023</v>
      </c>
      <c r="AP65" s="696">
        <v>46387</v>
      </c>
      <c r="AQ65" s="235" t="s">
        <v>660</v>
      </c>
    </row>
    <row r="66" spans="1:44" s="697" customFormat="1" ht="90.75" thickBot="1">
      <c r="A66" s="693">
        <v>4</v>
      </c>
      <c r="B66" s="693" t="s">
        <v>253</v>
      </c>
      <c r="C66" s="693" t="s">
        <v>433</v>
      </c>
      <c r="D66" s="693" t="s">
        <v>851</v>
      </c>
      <c r="E66" s="693">
        <v>4501</v>
      </c>
      <c r="F66" s="693" t="s">
        <v>416</v>
      </c>
      <c r="G66" s="693">
        <v>4501063</v>
      </c>
      <c r="H66" s="689" t="s">
        <v>869</v>
      </c>
      <c r="I66" s="693" t="s">
        <v>870</v>
      </c>
      <c r="J66" s="693" t="s">
        <v>871</v>
      </c>
      <c r="K66" s="750">
        <v>15</v>
      </c>
      <c r="L66" s="750"/>
      <c r="M66" s="750">
        <f>+K66+L66</f>
        <v>15</v>
      </c>
      <c r="N66" s="745">
        <v>2024003630062</v>
      </c>
      <c r="O66" s="693" t="s">
        <v>856</v>
      </c>
      <c r="P66" s="235" t="s">
        <v>887</v>
      </c>
      <c r="Q66" s="216">
        <v>30000000</v>
      </c>
      <c r="R66" s="232"/>
      <c r="S66" s="232"/>
      <c r="T66" s="232"/>
      <c r="U66" s="213"/>
      <c r="V66" s="692" t="s">
        <v>888</v>
      </c>
      <c r="W66" s="693">
        <v>20</v>
      </c>
      <c r="X66" s="693" t="s">
        <v>659</v>
      </c>
      <c r="Y66" s="693">
        <v>35360</v>
      </c>
      <c r="Z66" s="693">
        <v>32903</v>
      </c>
      <c r="AA66" s="693">
        <v>12083</v>
      </c>
      <c r="AB66" s="693">
        <v>2669</v>
      </c>
      <c r="AC66" s="693">
        <v>44767</v>
      </c>
      <c r="AD66" s="693">
        <v>8744</v>
      </c>
      <c r="AE66" s="693">
        <v>1160</v>
      </c>
      <c r="AF66" s="693">
        <v>260</v>
      </c>
      <c r="AG66" s="693">
        <v>0</v>
      </c>
      <c r="AH66" s="693">
        <v>0</v>
      </c>
      <c r="AI66" s="693">
        <v>0</v>
      </c>
      <c r="AJ66" s="693">
        <v>0</v>
      </c>
      <c r="AK66" s="693">
        <v>0</v>
      </c>
      <c r="AL66" s="693">
        <v>1984</v>
      </c>
      <c r="AM66" s="693"/>
      <c r="AN66" s="693">
        <v>68263</v>
      </c>
      <c r="AO66" s="696">
        <v>46023</v>
      </c>
      <c r="AP66" s="696">
        <v>46387</v>
      </c>
      <c r="AQ66" s="235" t="s">
        <v>660</v>
      </c>
    </row>
    <row r="67" spans="1:44" ht="31.5" customHeight="1" thickBot="1">
      <c r="A67" s="238"/>
      <c r="B67" s="239"/>
      <c r="C67" s="239"/>
      <c r="D67" s="239"/>
      <c r="E67" s="240"/>
      <c r="F67" s="241"/>
      <c r="G67" s="238"/>
      <c r="H67" s="238"/>
      <c r="I67" s="238"/>
      <c r="J67" s="238"/>
      <c r="K67" s="242"/>
      <c r="L67" s="242"/>
      <c r="M67" s="242"/>
      <c r="N67" s="240"/>
      <c r="O67" s="243"/>
      <c r="P67" s="244"/>
      <c r="Q67" s="245">
        <f>SUM(Q11:Q66)</f>
        <v>5751802826.6300001</v>
      </c>
      <c r="R67" s="246"/>
      <c r="S67" s="246"/>
      <c r="T67" s="246"/>
      <c r="U67" s="246"/>
      <c r="V67" s="247"/>
      <c r="W67" s="248"/>
      <c r="X67" s="248"/>
      <c r="Y67" s="248"/>
      <c r="Z67" s="248"/>
      <c r="AA67" s="248"/>
      <c r="AB67" s="248"/>
      <c r="AC67" s="248"/>
      <c r="AD67" s="248"/>
      <c r="AE67" s="248"/>
      <c r="AF67" s="248"/>
      <c r="AG67" s="248"/>
      <c r="AH67" s="248"/>
      <c r="AI67" s="248"/>
      <c r="AJ67" s="248"/>
      <c r="AK67" s="248"/>
      <c r="AL67" s="248"/>
      <c r="AM67" s="248"/>
      <c r="AN67" s="248"/>
      <c r="AO67" s="249"/>
      <c r="AP67" s="249"/>
      <c r="AQ67" s="239"/>
    </row>
    <row r="68" spans="1:44" ht="15.75">
      <c r="Q68" s="250"/>
    </row>
    <row r="70" spans="1:44">
      <c r="A70" s="251"/>
      <c r="B70" s="251"/>
      <c r="C70" s="251"/>
      <c r="D70" s="251"/>
      <c r="E70" s="251"/>
      <c r="F70" s="251"/>
      <c r="G70" s="251"/>
      <c r="H70" s="251"/>
      <c r="I70" s="251"/>
      <c r="J70" s="251"/>
      <c r="K70" s="251"/>
      <c r="L70" s="251"/>
      <c r="M70" s="251"/>
      <c r="N70" s="251"/>
      <c r="O70" s="251"/>
      <c r="P70" s="251"/>
      <c r="Q70" s="252"/>
      <c r="R70" s="251"/>
      <c r="S70" s="251"/>
      <c r="T70" s="251"/>
      <c r="U70" s="251"/>
      <c r="V70" s="251"/>
      <c r="W70" s="253"/>
      <c r="X70" s="253"/>
      <c r="Y70" s="251"/>
      <c r="Z70" s="251"/>
      <c r="AA70" s="251"/>
      <c r="AB70" s="251"/>
      <c r="AC70" s="251"/>
      <c r="AD70" s="251"/>
      <c r="AE70" s="251"/>
      <c r="AF70" s="251"/>
      <c r="AG70" s="251"/>
      <c r="AH70" s="251"/>
      <c r="AI70" s="251"/>
      <c r="AJ70" s="251"/>
      <c r="AK70" s="251"/>
      <c r="AL70" s="251"/>
      <c r="AM70" s="251"/>
      <c r="AN70" s="251"/>
      <c r="AO70" s="251"/>
      <c r="AP70" s="251"/>
      <c r="AQ70" s="251"/>
      <c r="AR70" s="251"/>
    </row>
    <row r="71" spans="1:44">
      <c r="A71" s="251"/>
      <c r="B71" s="251"/>
      <c r="C71" s="251"/>
      <c r="D71" s="251"/>
      <c r="E71" s="251"/>
      <c r="F71" s="251"/>
      <c r="G71" s="251"/>
      <c r="H71" s="251"/>
      <c r="I71" s="251"/>
      <c r="J71" s="251"/>
      <c r="K71" s="251"/>
      <c r="L71" s="251"/>
      <c r="M71" s="251"/>
      <c r="N71" s="251"/>
      <c r="O71" s="251"/>
      <c r="P71" s="251"/>
      <c r="Q71" s="252"/>
      <c r="R71" s="251"/>
      <c r="S71" s="251"/>
      <c r="T71" s="251"/>
      <c r="U71" s="251"/>
      <c r="V71" s="251"/>
      <c r="W71" s="253"/>
      <c r="X71" s="253"/>
      <c r="Y71" s="251"/>
      <c r="Z71" s="251"/>
      <c r="AA71" s="251"/>
      <c r="AB71" s="251"/>
      <c r="AC71" s="251"/>
      <c r="AD71" s="251"/>
      <c r="AE71" s="251"/>
      <c r="AF71" s="251"/>
      <c r="AG71" s="251"/>
      <c r="AH71" s="251"/>
      <c r="AI71" s="251"/>
      <c r="AJ71" s="251"/>
      <c r="AK71" s="251"/>
      <c r="AL71" s="251"/>
      <c r="AM71" s="251"/>
      <c r="AN71" s="251"/>
      <c r="AO71" s="251"/>
      <c r="AP71" s="251"/>
      <c r="AQ71" s="251"/>
      <c r="AR71" s="251"/>
    </row>
    <row r="72" spans="1:44" ht="15.75">
      <c r="A72" s="251"/>
      <c r="B72" s="251"/>
      <c r="C72" s="251"/>
      <c r="D72" s="251"/>
      <c r="E72" s="251"/>
      <c r="F72" s="251"/>
      <c r="G72" s="251"/>
      <c r="H72" s="251"/>
      <c r="I72" s="251"/>
      <c r="J72" s="251"/>
      <c r="K72" s="1052" t="s">
        <v>889</v>
      </c>
      <c r="L72" s="1052"/>
      <c r="M72" s="1052"/>
      <c r="N72" s="1052"/>
      <c r="O72" s="1052"/>
      <c r="P72" s="1052"/>
      <c r="Q72" s="1052"/>
      <c r="R72" s="251"/>
      <c r="S72" s="251"/>
      <c r="T72" s="251"/>
      <c r="U72" s="251"/>
      <c r="V72" s="251"/>
      <c r="W72" s="253"/>
      <c r="X72" s="253"/>
      <c r="Y72" s="251"/>
      <c r="Z72" s="251"/>
      <c r="AA72" s="251"/>
      <c r="AB72" s="251"/>
      <c r="AC72" s="251"/>
      <c r="AD72" s="251"/>
      <c r="AE72" s="251"/>
      <c r="AF72" s="251"/>
      <c r="AG72" s="251"/>
      <c r="AH72" s="251"/>
      <c r="AI72" s="251"/>
      <c r="AJ72" s="251"/>
      <c r="AK72" s="251"/>
      <c r="AL72" s="251"/>
      <c r="AM72" s="251"/>
      <c r="AN72" s="251"/>
      <c r="AO72" s="251"/>
      <c r="AP72" s="251"/>
      <c r="AQ72" s="251"/>
      <c r="AR72" s="251"/>
    </row>
    <row r="73" spans="1:44" ht="15.75">
      <c r="A73" s="251"/>
      <c r="B73" s="251"/>
      <c r="C73" s="251"/>
      <c r="D73" s="251"/>
      <c r="E73" s="251"/>
      <c r="F73" s="251"/>
      <c r="G73" s="251"/>
      <c r="H73" s="251"/>
      <c r="I73" s="251"/>
      <c r="J73" s="251"/>
      <c r="K73" s="1052" t="s">
        <v>890</v>
      </c>
      <c r="L73" s="1052"/>
      <c r="M73" s="1052"/>
      <c r="N73" s="1052"/>
      <c r="O73" s="1052"/>
      <c r="P73" s="1052"/>
      <c r="Q73" s="1052"/>
      <c r="R73" s="251"/>
      <c r="S73" s="251"/>
      <c r="T73" s="251"/>
      <c r="U73" s="251"/>
      <c r="V73" s="251"/>
      <c r="W73" s="253"/>
      <c r="X73" s="253"/>
      <c r="Y73" s="251"/>
      <c r="Z73" s="251"/>
      <c r="AA73" s="251"/>
      <c r="AB73" s="251"/>
      <c r="AC73" s="251"/>
      <c r="AD73" s="251"/>
      <c r="AE73" s="251"/>
      <c r="AF73" s="251"/>
      <c r="AG73" s="251"/>
      <c r="AH73" s="251"/>
      <c r="AI73" s="251"/>
      <c r="AJ73" s="251"/>
      <c r="AK73" s="251"/>
      <c r="AL73" s="251"/>
      <c r="AM73" s="251"/>
      <c r="AN73" s="251"/>
      <c r="AO73" s="251"/>
      <c r="AP73" s="251"/>
      <c r="AQ73" s="251"/>
      <c r="AR73" s="251"/>
    </row>
    <row r="74" spans="1:44">
      <c r="A74" s="251"/>
      <c r="B74" s="251"/>
      <c r="C74" s="251"/>
      <c r="D74" s="251"/>
      <c r="E74" s="251"/>
      <c r="F74" s="251"/>
      <c r="G74" s="251"/>
      <c r="H74" s="251"/>
      <c r="I74" s="251"/>
      <c r="J74" s="251"/>
      <c r="K74" s="251"/>
      <c r="L74" s="251"/>
      <c r="M74" s="251"/>
      <c r="N74" s="251"/>
      <c r="O74" s="251"/>
      <c r="P74" s="251"/>
      <c r="Q74" s="252"/>
      <c r="R74" s="251"/>
      <c r="S74" s="251"/>
      <c r="T74" s="251"/>
      <c r="U74" s="251"/>
      <c r="V74" s="251"/>
      <c r="W74" s="253"/>
      <c r="X74" s="253"/>
      <c r="Y74" s="251"/>
      <c r="Z74" s="251"/>
      <c r="AA74" s="251"/>
      <c r="AB74" s="251"/>
      <c r="AC74" s="251"/>
      <c r="AD74" s="251"/>
      <c r="AE74" s="251"/>
      <c r="AF74" s="251"/>
      <c r="AG74" s="251"/>
      <c r="AH74" s="251"/>
      <c r="AI74" s="251"/>
      <c r="AJ74" s="251"/>
      <c r="AK74" s="251"/>
      <c r="AL74" s="251"/>
      <c r="AM74" s="251"/>
      <c r="AN74" s="251"/>
      <c r="AO74" s="251"/>
      <c r="AP74" s="251"/>
      <c r="AQ74" s="251"/>
      <c r="AR74" s="251"/>
    </row>
    <row r="75" spans="1:44">
      <c r="A75" s="251"/>
      <c r="B75" s="251"/>
      <c r="C75" s="251"/>
      <c r="D75" s="251"/>
      <c r="E75" s="251"/>
      <c r="F75" s="251"/>
      <c r="G75" s="251"/>
      <c r="H75" s="251"/>
      <c r="I75" s="251"/>
      <c r="J75" s="251"/>
      <c r="K75" s="251"/>
      <c r="L75" s="251"/>
      <c r="M75" s="251"/>
      <c r="N75" s="251"/>
      <c r="O75" s="251"/>
      <c r="P75" s="251"/>
      <c r="Q75" s="252"/>
      <c r="R75" s="251"/>
      <c r="S75" s="251"/>
      <c r="T75" s="251"/>
      <c r="U75" s="251"/>
      <c r="V75" s="251"/>
      <c r="W75" s="253"/>
      <c r="X75" s="253"/>
      <c r="Y75" s="251"/>
      <c r="Z75" s="251"/>
      <c r="AA75" s="251"/>
      <c r="AB75" s="251"/>
      <c r="AC75" s="251"/>
      <c r="AD75" s="251"/>
      <c r="AE75" s="251"/>
      <c r="AF75" s="251"/>
      <c r="AG75" s="251"/>
      <c r="AH75" s="251"/>
      <c r="AI75" s="251"/>
      <c r="AJ75" s="251"/>
      <c r="AK75" s="251"/>
      <c r="AL75" s="251"/>
      <c r="AM75" s="251"/>
      <c r="AN75" s="251"/>
      <c r="AO75" s="251"/>
      <c r="AP75" s="251"/>
      <c r="AQ75" s="251"/>
      <c r="AR75" s="251"/>
    </row>
    <row r="76" spans="1:44">
      <c r="A76" s="251"/>
      <c r="B76" s="251"/>
      <c r="C76" s="251"/>
      <c r="D76" s="251"/>
      <c r="E76" s="251"/>
      <c r="F76" s="251"/>
      <c r="G76" s="251"/>
      <c r="H76" s="251"/>
      <c r="I76" s="251"/>
      <c r="J76" s="251"/>
      <c r="K76" s="251"/>
      <c r="L76" s="251"/>
      <c r="M76" s="251"/>
      <c r="N76" s="251"/>
      <c r="O76" s="251"/>
      <c r="P76" s="251"/>
      <c r="Q76" s="252"/>
      <c r="R76" s="251"/>
      <c r="S76" s="251"/>
      <c r="T76" s="251"/>
      <c r="U76" s="251"/>
      <c r="V76" s="251"/>
      <c r="W76" s="253"/>
      <c r="X76" s="253"/>
      <c r="Y76" s="251"/>
      <c r="Z76" s="251"/>
      <c r="AA76" s="251"/>
      <c r="AB76" s="251"/>
      <c r="AC76" s="251"/>
      <c r="AD76" s="251"/>
      <c r="AE76" s="251"/>
      <c r="AF76" s="251"/>
      <c r="AG76" s="251"/>
      <c r="AH76" s="251"/>
      <c r="AI76" s="251"/>
      <c r="AJ76" s="251"/>
      <c r="AK76" s="251"/>
      <c r="AL76" s="251"/>
      <c r="AM76" s="251"/>
      <c r="AN76" s="251"/>
      <c r="AO76" s="251"/>
      <c r="AP76" s="251"/>
      <c r="AQ76" s="251"/>
      <c r="AR76" s="251"/>
    </row>
    <row r="77" spans="1:44">
      <c r="A77" s="251"/>
      <c r="B77" s="251"/>
      <c r="C77" s="251"/>
      <c r="D77" s="251"/>
      <c r="E77" s="251"/>
      <c r="F77" s="251"/>
      <c r="G77" s="1041" t="s">
        <v>108</v>
      </c>
      <c r="H77" s="1041"/>
      <c r="I77" s="1042" t="s">
        <v>109</v>
      </c>
      <c r="J77" s="1043"/>
      <c r="K77" s="1044" t="s">
        <v>110</v>
      </c>
      <c r="L77" s="1045"/>
      <c r="M77" s="1045"/>
      <c r="N77" s="1046"/>
      <c r="O77" s="251"/>
      <c r="P77" s="251"/>
      <c r="Q77" s="252"/>
      <c r="R77" s="251"/>
      <c r="S77" s="251"/>
      <c r="T77" s="251"/>
      <c r="U77" s="251"/>
      <c r="V77" s="251"/>
      <c r="W77" s="253"/>
      <c r="X77" s="253"/>
      <c r="Y77" s="251"/>
      <c r="Z77" s="251"/>
      <c r="AA77" s="251"/>
      <c r="AB77" s="251"/>
      <c r="AC77" s="251"/>
      <c r="AD77" s="251"/>
      <c r="AE77" s="251"/>
      <c r="AF77" s="251"/>
      <c r="AG77" s="251"/>
      <c r="AH77" s="251"/>
      <c r="AI77" s="251"/>
      <c r="AJ77" s="251"/>
      <c r="AK77" s="251"/>
      <c r="AL77" s="251"/>
      <c r="AM77" s="251"/>
      <c r="AN77" s="251"/>
      <c r="AO77" s="251"/>
      <c r="AP77" s="251"/>
      <c r="AQ77" s="251"/>
      <c r="AR77" s="251"/>
    </row>
    <row r="78" spans="1:44" ht="25.5" customHeight="1">
      <c r="A78" s="251"/>
      <c r="B78" s="251"/>
      <c r="C78" s="251"/>
      <c r="D78" s="251"/>
      <c r="E78" s="251"/>
      <c r="F78" s="251"/>
      <c r="G78" s="1041" t="s">
        <v>648</v>
      </c>
      <c r="H78" s="1041"/>
      <c r="I78" s="1047" t="s">
        <v>112</v>
      </c>
      <c r="J78" s="1048"/>
      <c r="K78" s="1041" t="s">
        <v>113</v>
      </c>
      <c r="L78" s="1041"/>
      <c r="M78" s="1041"/>
      <c r="N78" s="1041"/>
      <c r="O78" s="251"/>
      <c r="P78" s="251"/>
      <c r="Q78" s="252"/>
      <c r="R78" s="251"/>
      <c r="S78" s="251"/>
      <c r="T78" s="251"/>
      <c r="U78" s="251"/>
      <c r="V78" s="254"/>
      <c r="W78" s="253"/>
      <c r="X78" s="253"/>
      <c r="Y78" s="251"/>
      <c r="Z78" s="251"/>
      <c r="AA78" s="251"/>
      <c r="AB78" s="251"/>
      <c r="AC78" s="251"/>
      <c r="AD78" s="251"/>
      <c r="AE78" s="251"/>
      <c r="AF78" s="251"/>
      <c r="AG78" s="251"/>
      <c r="AH78" s="251"/>
      <c r="AI78" s="251"/>
      <c r="AJ78" s="251"/>
      <c r="AK78" s="251"/>
      <c r="AL78" s="251"/>
      <c r="AM78" s="251"/>
      <c r="AN78" s="251"/>
      <c r="AO78" s="251"/>
      <c r="AP78" s="251"/>
      <c r="AQ78" s="251"/>
      <c r="AR78" s="251"/>
    </row>
    <row r="79" spans="1:44" ht="34.5" customHeight="1">
      <c r="G79" s="1041" t="s">
        <v>114</v>
      </c>
      <c r="H79" s="1041"/>
      <c r="I79" s="1041" t="s">
        <v>115</v>
      </c>
      <c r="J79" s="1041"/>
      <c r="K79" s="1041" t="s">
        <v>116</v>
      </c>
      <c r="L79" s="1041"/>
      <c r="M79" s="1041"/>
      <c r="N79" s="1041"/>
    </row>
    <row r="80" spans="1:44">
      <c r="G80" s="256" t="s">
        <v>649</v>
      </c>
      <c r="H80" s="251"/>
      <c r="I80" s="251"/>
      <c r="J80" s="251"/>
    </row>
  </sheetData>
  <autoFilter ref="A10:BI10" xr:uid="{00000000-0001-0000-0600-000000000000}"/>
  <mergeCells count="32">
    <mergeCell ref="G79:H79"/>
    <mergeCell ref="I79:J79"/>
    <mergeCell ref="K79:N79"/>
    <mergeCell ref="AN9:AN10"/>
    <mergeCell ref="G77:H77"/>
    <mergeCell ref="I77:J77"/>
    <mergeCell ref="K77:N77"/>
    <mergeCell ref="G78:H78"/>
    <mergeCell ref="I78:J78"/>
    <mergeCell ref="K78:N78"/>
    <mergeCell ref="N8:Q9"/>
    <mergeCell ref="Y8:AN8"/>
    <mergeCell ref="K73:Q73"/>
    <mergeCell ref="K72:Q72"/>
    <mergeCell ref="AP8:AP10"/>
    <mergeCell ref="AQ8:AQ10"/>
    <mergeCell ref="V9:X9"/>
    <mergeCell ref="Y9:Z9"/>
    <mergeCell ref="AA9:AD9"/>
    <mergeCell ref="AE9:AJ9"/>
    <mergeCell ref="AK9:AM9"/>
    <mergeCell ref="A1:B7"/>
    <mergeCell ref="C1:AO1"/>
    <mergeCell ref="C2:AO4"/>
    <mergeCell ref="C5:AO6"/>
    <mergeCell ref="A8:B9"/>
    <mergeCell ref="C8:D9"/>
    <mergeCell ref="E8:F9"/>
    <mergeCell ref="G8:H9"/>
    <mergeCell ref="I8:J9"/>
    <mergeCell ref="K8:M9"/>
    <mergeCell ref="AO8:AO10"/>
  </mergeCells>
  <conditionalFormatting sqref="V11 V14">
    <cfRule type="duplicateValues" dxfId="161" priority="22"/>
    <cfRule type="duplicateValues" dxfId="160" priority="23" stopIfTrue="1"/>
  </conditionalFormatting>
  <conditionalFormatting sqref="V11">
    <cfRule type="containsErrors" dxfId="159" priority="18">
      <formula>ISERROR(V11)</formula>
    </cfRule>
  </conditionalFormatting>
  <conditionalFormatting sqref="V14:V23 V58:V66">
    <cfRule type="containsErrors" dxfId="158" priority="7">
      <formula>ISERROR(V14)</formula>
    </cfRule>
  </conditionalFormatting>
  <conditionalFormatting sqref="V15">
    <cfRule type="duplicateValues" dxfId="157" priority="8"/>
    <cfRule type="duplicateValues" dxfId="156" priority="9" stopIfTrue="1"/>
  </conditionalFormatting>
  <conditionalFormatting sqref="V16:V17">
    <cfRule type="duplicateValues" dxfId="155" priority="10"/>
    <cfRule type="duplicateValues" dxfId="154" priority="11" stopIfTrue="1"/>
  </conditionalFormatting>
  <conditionalFormatting sqref="V18:V21">
    <cfRule type="duplicateValues" dxfId="153" priority="20"/>
    <cfRule type="duplicateValues" dxfId="152" priority="21" stopIfTrue="1"/>
  </conditionalFormatting>
  <conditionalFormatting sqref="V22:V23">
    <cfRule type="duplicateValues" dxfId="151" priority="17"/>
    <cfRule type="duplicateValues" dxfId="150" priority="19" stopIfTrue="1"/>
  </conditionalFormatting>
  <conditionalFormatting sqref="V36">
    <cfRule type="duplicateValues" dxfId="149" priority="14"/>
    <cfRule type="containsErrors" dxfId="148" priority="15">
      <formula>ISERROR(V36)</formula>
    </cfRule>
    <cfRule type="duplicateValues" dxfId="147" priority="16" stopIfTrue="1"/>
  </conditionalFormatting>
  <conditionalFormatting sqref="V41:V43 V45:V46">
    <cfRule type="duplicateValues" dxfId="146" priority="26"/>
    <cfRule type="duplicateValues" dxfId="145" priority="27" stopIfTrue="1"/>
  </conditionalFormatting>
  <conditionalFormatting sqref="V41:V46">
    <cfRule type="containsErrors" dxfId="144" priority="2">
      <formula>ISERROR(V41)</formula>
    </cfRule>
  </conditionalFormatting>
  <conditionalFormatting sqref="V44">
    <cfRule type="duplicateValues" dxfId="143" priority="1"/>
    <cfRule type="duplicateValues" dxfId="142" priority="3" stopIfTrue="1"/>
  </conditionalFormatting>
  <conditionalFormatting sqref="V48">
    <cfRule type="duplicateValues" dxfId="141" priority="4"/>
    <cfRule type="containsErrors" dxfId="140" priority="5">
      <formula>ISERROR(V48)</formula>
    </cfRule>
    <cfRule type="duplicateValues" dxfId="139" priority="6" stopIfTrue="1"/>
  </conditionalFormatting>
  <conditionalFormatting sqref="V58:V64">
    <cfRule type="duplicateValues" dxfId="138" priority="28"/>
    <cfRule type="duplicateValues" dxfId="137" priority="29" stopIfTrue="1"/>
  </conditionalFormatting>
  <conditionalFormatting sqref="V65">
    <cfRule type="duplicateValues" dxfId="136" priority="24"/>
    <cfRule type="duplicateValues" dxfId="135" priority="25" stopIfTrue="1"/>
  </conditionalFormatting>
  <conditionalFormatting sqref="V66">
    <cfRule type="duplicateValues" dxfId="134" priority="12"/>
    <cfRule type="duplicateValues" dxfId="133" priority="13" stopIfTrue="1"/>
  </conditionalFormatting>
  <pageMargins left="0.25" right="0.25" top="0.75" bottom="0.75" header="0.3" footer="0.3"/>
  <pageSetup scale="22" fitToHeight="6"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R59"/>
  <sheetViews>
    <sheetView topLeftCell="P1" workbookViewId="0">
      <selection activeCell="V28" sqref="V28"/>
    </sheetView>
  </sheetViews>
  <sheetFormatPr defaultColWidth="11.42578125" defaultRowHeight="15"/>
  <cols>
    <col min="2" max="2" width="32" customWidth="1"/>
    <col min="6" max="6" width="19.140625" customWidth="1"/>
    <col min="8" max="8" width="23.85546875" customWidth="1"/>
    <col min="9" max="9" width="14.85546875" customWidth="1"/>
    <col min="10" max="10" width="19.85546875" customWidth="1"/>
    <col min="11" max="13" width="0" hidden="1" customWidth="1"/>
    <col min="14" max="14" width="17.42578125" customWidth="1"/>
    <col min="15" max="15" width="36.42578125" hidden="1" customWidth="1"/>
    <col min="16" max="16" width="45.7109375" customWidth="1"/>
    <col min="17" max="17" width="14.5703125" customWidth="1"/>
    <col min="18" max="18" width="22.42578125" customWidth="1"/>
    <col min="19" max="19" width="15" customWidth="1"/>
    <col min="20" max="20" width="12" customWidth="1"/>
    <col min="21" max="21" width="13.140625" customWidth="1"/>
    <col min="22" max="22" width="11.42578125" customWidth="1"/>
    <col min="24" max="24" width="21.7109375" customWidth="1"/>
    <col min="41" max="41" width="14.85546875" customWidth="1"/>
    <col min="42" max="42" width="15.7109375" customWidth="1"/>
    <col min="43" max="43" width="21.28515625" customWidth="1"/>
  </cols>
  <sheetData>
    <row r="1" spans="1:43">
      <c r="A1" s="1001"/>
      <c r="B1" s="1001"/>
      <c r="C1" s="1024" t="s">
        <v>0</v>
      </c>
      <c r="D1" s="1024"/>
      <c r="E1" s="1024"/>
      <c r="F1" s="1024"/>
      <c r="G1" s="1024"/>
      <c r="H1" s="1024"/>
      <c r="I1" s="1024"/>
      <c r="J1" s="1024"/>
      <c r="K1" s="1024"/>
      <c r="L1" s="1024"/>
      <c r="M1" s="1024"/>
      <c r="N1" s="1024"/>
      <c r="O1" s="1024"/>
      <c r="P1" s="1024"/>
      <c r="Q1" s="1024"/>
      <c r="R1" s="1024"/>
      <c r="S1" s="1024"/>
      <c r="T1" s="1024"/>
      <c r="U1" s="1024"/>
      <c r="V1" s="1024"/>
      <c r="W1" s="1024"/>
      <c r="X1" s="1024"/>
      <c r="Y1" s="1024"/>
      <c r="Z1" s="1024"/>
      <c r="AA1" s="1024"/>
      <c r="AB1" s="1024"/>
      <c r="AC1" s="1024"/>
      <c r="AD1" s="1024"/>
      <c r="AE1" s="1024"/>
      <c r="AF1" s="1024"/>
      <c r="AG1" s="1024"/>
      <c r="AH1" s="1024"/>
      <c r="AI1" s="1024"/>
      <c r="AJ1" s="1024"/>
      <c r="AK1" s="1024"/>
      <c r="AL1" s="1024"/>
      <c r="AM1" s="1024"/>
      <c r="AN1" s="1024"/>
      <c r="AO1" s="1024"/>
    </row>
    <row r="2" spans="1:43">
      <c r="A2" s="1001"/>
      <c r="B2" s="1001"/>
      <c r="C2" s="1025" t="s">
        <v>891</v>
      </c>
      <c r="D2" s="1025"/>
      <c r="E2" s="1025"/>
      <c r="F2" s="1025"/>
      <c r="G2" s="1025"/>
      <c r="H2" s="1025"/>
      <c r="I2" s="1025"/>
      <c r="J2" s="1025"/>
      <c r="K2" s="1025"/>
      <c r="L2" s="1025"/>
      <c r="M2" s="1025"/>
      <c r="N2" s="1025"/>
      <c r="O2" s="1025"/>
      <c r="P2" s="1025"/>
      <c r="Q2" s="1025"/>
      <c r="R2" s="1025"/>
      <c r="S2" s="1025"/>
      <c r="T2" s="1025"/>
      <c r="U2" s="1025"/>
      <c r="V2" s="1025"/>
      <c r="W2" s="1025"/>
      <c r="X2" s="1025"/>
      <c r="Y2" s="1025"/>
      <c r="Z2" s="1025"/>
      <c r="AA2" s="1025"/>
      <c r="AB2" s="1025"/>
      <c r="AC2" s="1025"/>
      <c r="AD2" s="1025"/>
      <c r="AE2" s="1025"/>
      <c r="AF2" s="1025"/>
      <c r="AG2" s="1025"/>
      <c r="AH2" s="1025"/>
      <c r="AI2" s="1025"/>
      <c r="AJ2" s="1025"/>
      <c r="AK2" s="1025"/>
      <c r="AL2" s="1025"/>
      <c r="AM2" s="1025"/>
      <c r="AN2" s="1025"/>
      <c r="AO2" s="1026"/>
      <c r="AP2" s="25" t="s">
        <v>2</v>
      </c>
      <c r="AQ2" s="957" t="s">
        <v>3</v>
      </c>
    </row>
    <row r="3" spans="1:43">
      <c r="A3" s="1001"/>
      <c r="B3" s="1001"/>
      <c r="C3" s="1025"/>
      <c r="D3" s="1025"/>
      <c r="E3" s="1025"/>
      <c r="F3" s="1025"/>
      <c r="G3" s="1025"/>
      <c r="H3" s="1025"/>
      <c r="I3" s="1025"/>
      <c r="J3" s="1025"/>
      <c r="K3" s="1025"/>
      <c r="L3" s="1025"/>
      <c r="M3" s="1025"/>
      <c r="N3" s="1025"/>
      <c r="O3" s="1025"/>
      <c r="P3" s="1025"/>
      <c r="Q3" s="1025"/>
      <c r="R3" s="1025"/>
      <c r="S3" s="1025"/>
      <c r="T3" s="1025"/>
      <c r="U3" s="1025"/>
      <c r="V3" s="1025"/>
      <c r="W3" s="1025"/>
      <c r="X3" s="1025"/>
      <c r="Y3" s="1025"/>
      <c r="Z3" s="1025"/>
      <c r="AA3" s="1025"/>
      <c r="AB3" s="1025"/>
      <c r="AC3" s="1025"/>
      <c r="AD3" s="1025"/>
      <c r="AE3" s="1025"/>
      <c r="AF3" s="1025"/>
      <c r="AG3" s="1025"/>
      <c r="AH3" s="1025"/>
      <c r="AI3" s="1025"/>
      <c r="AJ3" s="1025"/>
      <c r="AK3" s="1025"/>
      <c r="AL3" s="1025"/>
      <c r="AM3" s="1025"/>
      <c r="AN3" s="1025"/>
      <c r="AO3" s="1026"/>
      <c r="AP3" s="42" t="s">
        <v>4</v>
      </c>
      <c r="AQ3" s="40">
        <v>14</v>
      </c>
    </row>
    <row r="4" spans="1:43">
      <c r="A4" s="1001"/>
      <c r="B4" s="1001"/>
      <c r="C4" s="1025"/>
      <c r="D4" s="1025"/>
      <c r="E4" s="1025"/>
      <c r="F4" s="1025"/>
      <c r="G4" s="1025"/>
      <c r="H4" s="1025"/>
      <c r="I4" s="1025"/>
      <c r="J4" s="1025"/>
      <c r="K4" s="1025"/>
      <c r="L4" s="1025"/>
      <c r="M4" s="1025"/>
      <c r="N4" s="1025"/>
      <c r="O4" s="1025"/>
      <c r="P4" s="1025"/>
      <c r="Q4" s="1025"/>
      <c r="R4" s="1025"/>
      <c r="S4" s="1025"/>
      <c r="T4" s="1025"/>
      <c r="U4" s="1025"/>
      <c r="V4" s="1025"/>
      <c r="W4" s="1025"/>
      <c r="X4" s="1025"/>
      <c r="Y4" s="1025"/>
      <c r="Z4" s="1025"/>
      <c r="AA4" s="1025"/>
      <c r="AB4" s="1025"/>
      <c r="AC4" s="1025"/>
      <c r="AD4" s="1025"/>
      <c r="AE4" s="1025"/>
      <c r="AF4" s="1025"/>
      <c r="AG4" s="1025"/>
      <c r="AH4" s="1025"/>
      <c r="AI4" s="1025"/>
      <c r="AJ4" s="1025"/>
      <c r="AK4" s="1025"/>
      <c r="AL4" s="1025"/>
      <c r="AM4" s="1025"/>
      <c r="AN4" s="1025"/>
      <c r="AO4" s="1026"/>
      <c r="AP4" s="42" t="s">
        <v>5</v>
      </c>
      <c r="AQ4" s="41">
        <v>45884</v>
      </c>
    </row>
    <row r="5" spans="1:43">
      <c r="A5" s="1001"/>
      <c r="B5" s="1001"/>
      <c r="C5" s="1027" t="s">
        <v>6</v>
      </c>
      <c r="D5" s="1027"/>
      <c r="E5" s="1027"/>
      <c r="F5" s="1027"/>
      <c r="G5" s="1027"/>
      <c r="H5" s="1027"/>
      <c r="I5" s="1027"/>
      <c r="J5" s="1027"/>
      <c r="K5" s="1027"/>
      <c r="L5" s="1027"/>
      <c r="M5" s="1027"/>
      <c r="N5" s="1027"/>
      <c r="O5" s="1027"/>
      <c r="P5" s="1027"/>
      <c r="Q5" s="1027"/>
      <c r="R5" s="1027"/>
      <c r="S5" s="1027"/>
      <c r="T5" s="1027"/>
      <c r="U5" s="1027"/>
      <c r="V5" s="1027"/>
      <c r="W5" s="1027"/>
      <c r="X5" s="1027"/>
      <c r="Y5" s="1027"/>
      <c r="Z5" s="1027"/>
      <c r="AA5" s="1027"/>
      <c r="AB5" s="1027"/>
      <c r="AC5" s="1027"/>
      <c r="AD5" s="1027"/>
      <c r="AE5" s="1027"/>
      <c r="AF5" s="1027"/>
      <c r="AG5" s="1027"/>
      <c r="AH5" s="1027"/>
      <c r="AI5" s="1027"/>
      <c r="AJ5" s="1027"/>
      <c r="AK5" s="1027"/>
      <c r="AL5" s="1027"/>
      <c r="AM5" s="1027"/>
      <c r="AN5" s="1027"/>
      <c r="AO5" s="1027"/>
      <c r="AP5" s="25" t="s">
        <v>7</v>
      </c>
      <c r="AQ5" s="3" t="s">
        <v>8</v>
      </c>
    </row>
    <row r="6" spans="1:43" ht="6.75" customHeight="1">
      <c r="A6" s="1001"/>
      <c r="B6" s="1001"/>
      <c r="C6" s="1027"/>
      <c r="D6" s="1027"/>
      <c r="E6" s="1027"/>
      <c r="F6" s="1027"/>
      <c r="G6" s="1027"/>
      <c r="H6" s="1027"/>
      <c r="I6" s="1027"/>
      <c r="J6" s="1027"/>
      <c r="K6" s="1027"/>
      <c r="L6" s="1027"/>
      <c r="M6" s="1027"/>
      <c r="N6" s="1027"/>
      <c r="O6" s="1027"/>
      <c r="P6" s="1027"/>
      <c r="Q6" s="1027"/>
      <c r="R6" s="1027"/>
      <c r="S6" s="1027"/>
      <c r="T6" s="1027"/>
      <c r="U6" s="1027"/>
      <c r="V6" s="1027"/>
      <c r="W6" s="1027"/>
      <c r="X6" s="1027"/>
      <c r="Y6" s="1027"/>
      <c r="Z6" s="1027"/>
      <c r="AA6" s="1027"/>
      <c r="AB6" s="1027"/>
      <c r="AC6" s="1027"/>
      <c r="AD6" s="1027"/>
      <c r="AE6" s="1027"/>
      <c r="AF6" s="1027"/>
      <c r="AG6" s="1027"/>
      <c r="AH6" s="1027"/>
      <c r="AI6" s="1027"/>
      <c r="AJ6" s="1027"/>
      <c r="AK6" s="1027"/>
      <c r="AL6" s="1027"/>
      <c r="AM6" s="1027"/>
      <c r="AN6" s="1027"/>
      <c r="AO6" s="1027"/>
      <c r="AP6" s="4"/>
      <c r="AQ6" s="5"/>
    </row>
    <row r="7" spans="1:43" ht="15" customHeight="1">
      <c r="A7" s="1006" t="s">
        <v>9</v>
      </c>
      <c r="B7" s="1007"/>
      <c r="C7" s="1006" t="s">
        <v>10</v>
      </c>
      <c r="D7" s="1010"/>
      <c r="E7" s="1006" t="s">
        <v>11</v>
      </c>
      <c r="F7" s="1010"/>
      <c r="G7" s="1006" t="s">
        <v>12</v>
      </c>
      <c r="H7" s="1010"/>
      <c r="I7" s="1012" t="s">
        <v>13</v>
      </c>
      <c r="J7" s="1053"/>
      <c r="K7" s="1055" t="s">
        <v>14</v>
      </c>
      <c r="L7" s="1012"/>
      <c r="M7" s="1012"/>
      <c r="N7" s="1015" t="s">
        <v>15</v>
      </c>
      <c r="O7" s="1015"/>
      <c r="P7" s="1015"/>
      <c r="Q7" s="1015"/>
      <c r="R7" s="958"/>
      <c r="S7" s="958"/>
      <c r="T7" s="958"/>
      <c r="U7" s="958"/>
      <c r="V7" s="6"/>
      <c r="W7" s="6"/>
      <c r="X7" s="7"/>
      <c r="Y7" s="998" t="s">
        <v>16</v>
      </c>
      <c r="Z7" s="999"/>
      <c r="AA7" s="999"/>
      <c r="AB7" s="999"/>
      <c r="AC7" s="999"/>
      <c r="AD7" s="999"/>
      <c r="AE7" s="999"/>
      <c r="AF7" s="999"/>
      <c r="AG7" s="999"/>
      <c r="AH7" s="999"/>
      <c r="AI7" s="999"/>
      <c r="AJ7" s="999"/>
      <c r="AK7" s="999"/>
      <c r="AL7" s="999"/>
      <c r="AM7" s="999"/>
      <c r="AN7" s="1000"/>
      <c r="AO7" s="987" t="s">
        <v>17</v>
      </c>
      <c r="AP7" s="987" t="s">
        <v>18</v>
      </c>
      <c r="AQ7" s="987" t="s">
        <v>19</v>
      </c>
    </row>
    <row r="8" spans="1:43">
      <c r="A8" s="1008"/>
      <c r="B8" s="1009"/>
      <c r="C8" s="1008"/>
      <c r="D8" s="1011"/>
      <c r="E8" s="1008"/>
      <c r="F8" s="1011"/>
      <c r="G8" s="1008"/>
      <c r="H8" s="1011"/>
      <c r="I8" s="1013"/>
      <c r="J8" s="1054"/>
      <c r="K8" s="1056"/>
      <c r="L8" s="1013"/>
      <c r="M8" s="1013"/>
      <c r="N8" s="1016"/>
      <c r="O8" s="1016"/>
      <c r="P8" s="1016"/>
      <c r="Q8" s="1016"/>
      <c r="R8" s="959"/>
      <c r="S8" s="959"/>
      <c r="T8" s="959"/>
      <c r="U8" s="959"/>
      <c r="V8" s="990" t="s">
        <v>20</v>
      </c>
      <c r="W8" s="991"/>
      <c r="X8" s="992"/>
      <c r="Y8" s="993" t="s">
        <v>21</v>
      </c>
      <c r="Z8" s="994"/>
      <c r="AA8" s="995" t="s">
        <v>22</v>
      </c>
      <c r="AB8" s="994"/>
      <c r="AC8" s="994"/>
      <c r="AD8" s="994"/>
      <c r="AE8" s="996" t="s">
        <v>23</v>
      </c>
      <c r="AF8" s="994"/>
      <c r="AG8" s="994"/>
      <c r="AH8" s="994"/>
      <c r="AI8" s="994"/>
      <c r="AJ8" s="994"/>
      <c r="AK8" s="995" t="s">
        <v>24</v>
      </c>
      <c r="AL8" s="994"/>
      <c r="AM8" s="994"/>
      <c r="AN8" s="997" t="s">
        <v>25</v>
      </c>
      <c r="AO8" s="988"/>
      <c r="AP8" s="988"/>
      <c r="AQ8" s="988"/>
    </row>
    <row r="9" spans="1:43" ht="45.75" customHeight="1">
      <c r="A9" s="10" t="s">
        <v>26</v>
      </c>
      <c r="B9" s="10" t="s">
        <v>27</v>
      </c>
      <c r="C9" s="10" t="s">
        <v>28</v>
      </c>
      <c r="D9" s="11" t="s">
        <v>29</v>
      </c>
      <c r="E9" s="11" t="s">
        <v>28</v>
      </c>
      <c r="F9" s="11" t="s">
        <v>29</v>
      </c>
      <c r="G9" s="12" t="s">
        <v>26</v>
      </c>
      <c r="H9" s="12" t="s">
        <v>29</v>
      </c>
      <c r="I9" s="12" t="s">
        <v>30</v>
      </c>
      <c r="J9" s="12" t="s">
        <v>31</v>
      </c>
      <c r="K9" s="12" t="s">
        <v>32</v>
      </c>
      <c r="L9" s="43" t="s">
        <v>651</v>
      </c>
      <c r="M9" s="43" t="s">
        <v>511</v>
      </c>
      <c r="N9" s="12" t="s">
        <v>34</v>
      </c>
      <c r="O9" s="12" t="s">
        <v>35</v>
      </c>
      <c r="P9" s="11" t="s">
        <v>36</v>
      </c>
      <c r="Q9" s="13" t="s">
        <v>37</v>
      </c>
      <c r="R9" s="13" t="s">
        <v>38</v>
      </c>
      <c r="S9" s="13" t="s">
        <v>39</v>
      </c>
      <c r="T9" s="13" t="s">
        <v>40</v>
      </c>
      <c r="U9" s="13" t="s">
        <v>41</v>
      </c>
      <c r="V9" s="10" t="s">
        <v>42</v>
      </c>
      <c r="W9" s="11" t="s">
        <v>26</v>
      </c>
      <c r="X9" s="11" t="s">
        <v>27</v>
      </c>
      <c r="Y9" s="14" t="s">
        <v>43</v>
      </c>
      <c r="Z9" s="15" t="s">
        <v>44</v>
      </c>
      <c r="AA9" s="14" t="s">
        <v>45</v>
      </c>
      <c r="AB9" s="14" t="s">
        <v>46</v>
      </c>
      <c r="AC9" s="14" t="s">
        <v>47</v>
      </c>
      <c r="AD9" s="14" t="s">
        <v>48</v>
      </c>
      <c r="AE9" s="14" t="s">
        <v>49</v>
      </c>
      <c r="AF9" s="14" t="s">
        <v>50</v>
      </c>
      <c r="AG9" s="14" t="s">
        <v>51</v>
      </c>
      <c r="AH9" s="14" t="s">
        <v>52</v>
      </c>
      <c r="AI9" s="14" t="s">
        <v>53</v>
      </c>
      <c r="AJ9" s="14" t="s">
        <v>54</v>
      </c>
      <c r="AK9" s="14" t="s">
        <v>55</v>
      </c>
      <c r="AL9" s="14" t="s">
        <v>56</v>
      </c>
      <c r="AM9" s="14" t="s">
        <v>57</v>
      </c>
      <c r="AN9" s="997"/>
      <c r="AO9" s="989"/>
      <c r="AP9" s="989"/>
      <c r="AQ9" s="989"/>
    </row>
    <row r="10" spans="1:43" ht="72" customHeight="1">
      <c r="A10" s="627">
        <v>3</v>
      </c>
      <c r="B10" s="843" t="s">
        <v>892</v>
      </c>
      <c r="C10" s="23">
        <v>35</v>
      </c>
      <c r="D10" s="133" t="s">
        <v>748</v>
      </c>
      <c r="E10" s="23">
        <v>3502</v>
      </c>
      <c r="F10" s="133" t="s">
        <v>749</v>
      </c>
      <c r="G10" s="23">
        <v>3502006</v>
      </c>
      <c r="H10" s="755" t="s">
        <v>893</v>
      </c>
      <c r="I10" s="23">
        <v>350200600</v>
      </c>
      <c r="J10" s="844" t="s">
        <v>894</v>
      </c>
      <c r="K10" s="265">
        <v>1</v>
      </c>
      <c r="L10" s="265"/>
      <c r="M10" s="265">
        <f>K10</f>
        <v>1</v>
      </c>
      <c r="N10" s="756">
        <v>2024003630055</v>
      </c>
      <c r="O10" s="755" t="s">
        <v>895</v>
      </c>
      <c r="P10" s="843" t="s">
        <v>896</v>
      </c>
      <c r="Q10" s="845">
        <v>55500000</v>
      </c>
      <c r="R10" s="845">
        <v>16000000</v>
      </c>
      <c r="S10" s="845"/>
      <c r="T10" s="845"/>
      <c r="U10" s="846">
        <f>+Q10-R10+S10-T10</f>
        <v>39500000</v>
      </c>
      <c r="V10" s="612" t="s">
        <v>897</v>
      </c>
      <c r="W10" s="265">
        <v>20</v>
      </c>
      <c r="X10" s="141" t="s">
        <v>67</v>
      </c>
      <c r="Y10" s="265">
        <v>140</v>
      </c>
      <c r="Z10" s="265">
        <v>210</v>
      </c>
      <c r="AA10" s="265"/>
      <c r="AB10" s="265"/>
      <c r="AC10" s="265">
        <f>SUM(Y10:Z10)</f>
        <v>350</v>
      </c>
      <c r="AD10" s="265"/>
      <c r="AE10" s="265"/>
      <c r="AF10" s="265"/>
      <c r="AG10" s="265"/>
      <c r="AH10" s="265"/>
      <c r="AI10" s="265"/>
      <c r="AJ10" s="265"/>
      <c r="AK10" s="265"/>
      <c r="AL10" s="265"/>
      <c r="AM10" s="265"/>
      <c r="AN10" s="265">
        <f>AC10</f>
        <v>350</v>
      </c>
      <c r="AO10" s="448">
        <v>46027</v>
      </c>
      <c r="AP10" s="448">
        <v>46361</v>
      </c>
      <c r="AQ10" s="847" t="s">
        <v>898</v>
      </c>
    </row>
    <row r="11" spans="1:43" ht="60" customHeight="1">
      <c r="A11" s="627">
        <v>3</v>
      </c>
      <c r="B11" s="843" t="s">
        <v>892</v>
      </c>
      <c r="C11" s="23">
        <v>35</v>
      </c>
      <c r="D11" s="133" t="s">
        <v>748</v>
      </c>
      <c r="E11" s="23">
        <v>3502</v>
      </c>
      <c r="F11" s="133" t="s">
        <v>749</v>
      </c>
      <c r="G11" s="23">
        <v>3502006</v>
      </c>
      <c r="H11" s="755" t="s">
        <v>893</v>
      </c>
      <c r="I11" s="23">
        <v>350200600</v>
      </c>
      <c r="J11" s="844" t="s">
        <v>894</v>
      </c>
      <c r="K11" s="265">
        <v>1</v>
      </c>
      <c r="L11" s="265"/>
      <c r="M11" s="265">
        <f t="shared" ref="M11:M18" si="0">K11</f>
        <v>1</v>
      </c>
      <c r="N11" s="756">
        <v>2024003630055</v>
      </c>
      <c r="O11" s="755" t="s">
        <v>895</v>
      </c>
      <c r="P11" s="843" t="s">
        <v>899</v>
      </c>
      <c r="Q11" s="845">
        <v>55500000</v>
      </c>
      <c r="R11" s="845">
        <v>16000000</v>
      </c>
      <c r="S11" s="845"/>
      <c r="T11" s="845"/>
      <c r="U11" s="846">
        <f t="shared" ref="U11:U40" si="1">+Q11-R11+S11-T11</f>
        <v>39500000</v>
      </c>
      <c r="V11" s="612" t="s">
        <v>897</v>
      </c>
      <c r="W11" s="265">
        <v>20</v>
      </c>
      <c r="X11" s="141" t="s">
        <v>67</v>
      </c>
      <c r="Y11" s="265">
        <v>140</v>
      </c>
      <c r="Z11" s="265">
        <v>210</v>
      </c>
      <c r="AA11" s="265"/>
      <c r="AB11" s="265"/>
      <c r="AC11" s="265">
        <f>SUM(Y11:Z11)</f>
        <v>350</v>
      </c>
      <c r="AD11" s="265"/>
      <c r="AE11" s="265"/>
      <c r="AF11" s="265"/>
      <c r="AG11" s="265"/>
      <c r="AH11" s="265"/>
      <c r="AI11" s="265"/>
      <c r="AJ11" s="265"/>
      <c r="AK11" s="265"/>
      <c r="AL11" s="265"/>
      <c r="AM11" s="265"/>
      <c r="AN11" s="265">
        <f>AC11</f>
        <v>350</v>
      </c>
      <c r="AO11" s="448">
        <v>46027</v>
      </c>
      <c r="AP11" s="448">
        <v>46361</v>
      </c>
      <c r="AQ11" s="847" t="s">
        <v>898</v>
      </c>
    </row>
    <row r="12" spans="1:43" ht="60" customHeight="1">
      <c r="A12" s="627">
        <v>2</v>
      </c>
      <c r="B12" s="843" t="s">
        <v>326</v>
      </c>
      <c r="C12" s="23">
        <v>35</v>
      </c>
      <c r="D12" s="133" t="s">
        <v>748</v>
      </c>
      <c r="E12" s="23">
        <v>3502</v>
      </c>
      <c r="F12" s="133" t="s">
        <v>749</v>
      </c>
      <c r="G12" s="23">
        <v>3502007</v>
      </c>
      <c r="H12" s="755" t="s">
        <v>750</v>
      </c>
      <c r="I12" s="23">
        <v>350200700</v>
      </c>
      <c r="J12" s="844" t="s">
        <v>751</v>
      </c>
      <c r="K12" s="265">
        <v>7</v>
      </c>
      <c r="L12" s="265"/>
      <c r="M12" s="265">
        <f t="shared" si="0"/>
        <v>7</v>
      </c>
      <c r="N12" s="23">
        <v>2024003630055</v>
      </c>
      <c r="O12" s="755" t="s">
        <v>895</v>
      </c>
      <c r="P12" s="145" t="s">
        <v>900</v>
      </c>
      <c r="Q12" s="845">
        <v>20000000</v>
      </c>
      <c r="R12" s="845">
        <v>14000000</v>
      </c>
      <c r="S12" s="845"/>
      <c r="T12" s="845"/>
      <c r="U12" s="846">
        <f t="shared" si="1"/>
        <v>6000000</v>
      </c>
      <c r="V12" s="612" t="s">
        <v>901</v>
      </c>
      <c r="W12" s="265">
        <v>20</v>
      </c>
      <c r="X12" s="141" t="s">
        <v>67</v>
      </c>
      <c r="Y12" s="265">
        <v>140</v>
      </c>
      <c r="Z12" s="265">
        <v>210</v>
      </c>
      <c r="AA12" s="265"/>
      <c r="AB12" s="265"/>
      <c r="AC12" s="265">
        <f>SUM(Y12:Z12)</f>
        <v>350</v>
      </c>
      <c r="AD12" s="265"/>
      <c r="AE12" s="265"/>
      <c r="AF12" s="265"/>
      <c r="AG12" s="265"/>
      <c r="AH12" s="265"/>
      <c r="AI12" s="265"/>
      <c r="AJ12" s="265"/>
      <c r="AK12" s="265"/>
      <c r="AL12" s="265"/>
      <c r="AM12" s="265"/>
      <c r="AN12" s="265">
        <f>AC12</f>
        <v>350</v>
      </c>
      <c r="AO12" s="448">
        <v>46027</v>
      </c>
      <c r="AP12" s="448">
        <v>46361</v>
      </c>
      <c r="AQ12" s="847" t="s">
        <v>898</v>
      </c>
    </row>
    <row r="13" spans="1:43" ht="60" customHeight="1">
      <c r="A13" s="627">
        <v>2</v>
      </c>
      <c r="B13" s="843" t="s">
        <v>326</v>
      </c>
      <c r="C13" s="23">
        <v>35</v>
      </c>
      <c r="D13" s="133" t="s">
        <v>748</v>
      </c>
      <c r="E13" s="23">
        <v>3502</v>
      </c>
      <c r="F13" s="133" t="s">
        <v>749</v>
      </c>
      <c r="G13" s="23">
        <v>3502007</v>
      </c>
      <c r="H13" s="755" t="s">
        <v>750</v>
      </c>
      <c r="I13" s="23">
        <v>350200700</v>
      </c>
      <c r="J13" s="844" t="s">
        <v>751</v>
      </c>
      <c r="K13" s="265">
        <v>7</v>
      </c>
      <c r="L13" s="265"/>
      <c r="M13" s="265">
        <f t="shared" si="0"/>
        <v>7</v>
      </c>
      <c r="N13" s="23">
        <v>2024003630055</v>
      </c>
      <c r="O13" s="755" t="s">
        <v>895</v>
      </c>
      <c r="P13" s="145" t="s">
        <v>902</v>
      </c>
      <c r="Q13" s="845">
        <v>24000000</v>
      </c>
      <c r="R13" s="845">
        <v>2000000</v>
      </c>
      <c r="S13" s="845"/>
      <c r="T13" s="845"/>
      <c r="U13" s="846">
        <f t="shared" si="1"/>
        <v>22000000</v>
      </c>
      <c r="V13" s="612" t="s">
        <v>901</v>
      </c>
      <c r="W13" s="265">
        <v>20</v>
      </c>
      <c r="X13" s="141" t="s">
        <v>67</v>
      </c>
      <c r="Y13" s="265">
        <v>140</v>
      </c>
      <c r="Z13" s="265">
        <v>210</v>
      </c>
      <c r="AA13" s="265"/>
      <c r="AB13" s="265"/>
      <c r="AC13" s="265">
        <f>SUM(Y13:Z13)</f>
        <v>350</v>
      </c>
      <c r="AD13" s="265"/>
      <c r="AE13" s="265"/>
      <c r="AF13" s="265"/>
      <c r="AG13" s="265"/>
      <c r="AH13" s="265"/>
      <c r="AI13" s="265"/>
      <c r="AJ13" s="265"/>
      <c r="AK13" s="265"/>
      <c r="AL13" s="265"/>
      <c r="AM13" s="265"/>
      <c r="AN13" s="265">
        <f>AC13</f>
        <v>350</v>
      </c>
      <c r="AO13" s="448">
        <v>46027</v>
      </c>
      <c r="AP13" s="448">
        <v>46361</v>
      </c>
      <c r="AQ13" s="847" t="s">
        <v>898</v>
      </c>
    </row>
    <row r="14" spans="1:43" ht="60" customHeight="1">
      <c r="A14" s="627">
        <v>2</v>
      </c>
      <c r="B14" s="843" t="s">
        <v>326</v>
      </c>
      <c r="C14" s="23">
        <v>35</v>
      </c>
      <c r="D14" s="133" t="s">
        <v>748</v>
      </c>
      <c r="E14" s="23">
        <v>3502</v>
      </c>
      <c r="F14" s="133" t="s">
        <v>749</v>
      </c>
      <c r="G14" s="23">
        <v>3502107</v>
      </c>
      <c r="H14" s="755" t="s">
        <v>903</v>
      </c>
      <c r="I14" s="23">
        <v>350210700</v>
      </c>
      <c r="J14" s="844" t="s">
        <v>735</v>
      </c>
      <c r="K14" s="265">
        <v>1</v>
      </c>
      <c r="L14" s="265"/>
      <c r="M14" s="265">
        <f t="shared" si="0"/>
        <v>1</v>
      </c>
      <c r="N14" s="23">
        <v>2024003630055</v>
      </c>
      <c r="O14" s="755" t="s">
        <v>895</v>
      </c>
      <c r="P14" s="145" t="s">
        <v>904</v>
      </c>
      <c r="Q14" s="845">
        <v>44000000</v>
      </c>
      <c r="R14" s="845">
        <v>16000000</v>
      </c>
      <c r="S14" s="845"/>
      <c r="T14" s="845"/>
      <c r="U14" s="846">
        <f t="shared" si="1"/>
        <v>28000000</v>
      </c>
      <c r="V14" s="612" t="s">
        <v>905</v>
      </c>
      <c r="W14" s="265">
        <v>20</v>
      </c>
      <c r="X14" s="141" t="s">
        <v>67</v>
      </c>
      <c r="Y14" s="265">
        <v>140</v>
      </c>
      <c r="Z14" s="265">
        <v>210</v>
      </c>
      <c r="AA14" s="265"/>
      <c r="AB14" s="265"/>
      <c r="AC14" s="265">
        <f>SUM(Y14:Z14)</f>
        <v>350</v>
      </c>
      <c r="AD14" s="265"/>
      <c r="AE14" s="265"/>
      <c r="AF14" s="265"/>
      <c r="AG14" s="265"/>
      <c r="AH14" s="265"/>
      <c r="AI14" s="265"/>
      <c r="AJ14" s="265"/>
      <c r="AK14" s="265"/>
      <c r="AL14" s="265"/>
      <c r="AM14" s="265"/>
      <c r="AN14" s="265">
        <f>AC14</f>
        <v>350</v>
      </c>
      <c r="AO14" s="448">
        <v>46027</v>
      </c>
      <c r="AP14" s="448">
        <v>46361</v>
      </c>
      <c r="AQ14" s="847" t="s">
        <v>898</v>
      </c>
    </row>
    <row r="15" spans="1:43" ht="60" customHeight="1">
      <c r="A15" s="627">
        <v>2</v>
      </c>
      <c r="B15" s="843" t="s">
        <v>326</v>
      </c>
      <c r="C15" s="23">
        <v>39</v>
      </c>
      <c r="D15" s="133" t="s">
        <v>906</v>
      </c>
      <c r="E15" s="23">
        <v>3906</v>
      </c>
      <c r="F15" s="133" t="s">
        <v>907</v>
      </c>
      <c r="G15" s="23">
        <v>3906014</v>
      </c>
      <c r="H15" s="755" t="s">
        <v>908</v>
      </c>
      <c r="I15" s="23">
        <v>390601400</v>
      </c>
      <c r="J15" s="844" t="s">
        <v>909</v>
      </c>
      <c r="K15" s="265">
        <v>6</v>
      </c>
      <c r="L15" s="265"/>
      <c r="M15" s="265">
        <f t="shared" si="0"/>
        <v>6</v>
      </c>
      <c r="N15" s="23">
        <v>2024003630054</v>
      </c>
      <c r="O15" s="755" t="s">
        <v>910</v>
      </c>
      <c r="P15" s="848" t="s">
        <v>911</v>
      </c>
      <c r="Q15" s="845">
        <v>32400000</v>
      </c>
      <c r="R15" s="845"/>
      <c r="S15" s="845"/>
      <c r="T15" s="845"/>
      <c r="U15" s="846">
        <f t="shared" si="1"/>
        <v>32400000</v>
      </c>
      <c r="V15" s="612" t="s">
        <v>912</v>
      </c>
      <c r="W15" s="265">
        <v>20</v>
      </c>
      <c r="X15" s="141" t="s">
        <v>67</v>
      </c>
      <c r="Y15" s="265">
        <v>27</v>
      </c>
      <c r="Z15" s="265">
        <v>23</v>
      </c>
      <c r="AA15" s="265"/>
      <c r="AB15" s="265"/>
      <c r="AC15" s="265">
        <v>40</v>
      </c>
      <c r="AD15" s="265"/>
      <c r="AE15" s="849"/>
      <c r="AF15" s="849"/>
      <c r="AG15" s="849"/>
      <c r="AH15" s="849"/>
      <c r="AI15" s="849"/>
      <c r="AJ15" s="849"/>
      <c r="AK15" s="849"/>
      <c r="AL15" s="849"/>
      <c r="AM15" s="849"/>
      <c r="AN15" s="265">
        <f t="shared" ref="AN15:AN40" si="2">SUM(AA15:AM15)</f>
        <v>40</v>
      </c>
      <c r="AO15" s="448">
        <v>46086</v>
      </c>
      <c r="AP15" s="448">
        <v>46249</v>
      </c>
      <c r="AQ15" s="847" t="s">
        <v>898</v>
      </c>
    </row>
    <row r="16" spans="1:43" ht="60" customHeight="1">
      <c r="A16" s="627">
        <v>2</v>
      </c>
      <c r="B16" s="843" t="s">
        <v>326</v>
      </c>
      <c r="C16" s="23">
        <v>39</v>
      </c>
      <c r="D16" s="133" t="s">
        <v>906</v>
      </c>
      <c r="E16" s="23">
        <v>3906</v>
      </c>
      <c r="F16" s="133" t="s">
        <v>907</v>
      </c>
      <c r="G16" s="23">
        <v>3906014</v>
      </c>
      <c r="H16" s="755" t="s">
        <v>908</v>
      </c>
      <c r="I16" s="23">
        <v>390601400</v>
      </c>
      <c r="J16" s="844" t="s">
        <v>909</v>
      </c>
      <c r="K16" s="265">
        <v>6</v>
      </c>
      <c r="L16" s="265"/>
      <c r="M16" s="265">
        <f t="shared" si="0"/>
        <v>6</v>
      </c>
      <c r="N16" s="23">
        <v>2024003630054</v>
      </c>
      <c r="O16" s="755" t="s">
        <v>910</v>
      </c>
      <c r="P16" s="848" t="s">
        <v>913</v>
      </c>
      <c r="Q16" s="845">
        <v>4600000</v>
      </c>
      <c r="R16" s="845">
        <v>4600000</v>
      </c>
      <c r="S16" s="845"/>
      <c r="T16" s="845"/>
      <c r="U16" s="846">
        <f t="shared" si="1"/>
        <v>0</v>
      </c>
      <c r="V16" s="612" t="s">
        <v>914</v>
      </c>
      <c r="W16" s="265">
        <v>20</v>
      </c>
      <c r="X16" s="141" t="s">
        <v>67</v>
      </c>
      <c r="Y16" s="265">
        <v>27</v>
      </c>
      <c r="Z16" s="265">
        <v>23</v>
      </c>
      <c r="AA16" s="265"/>
      <c r="AB16" s="265"/>
      <c r="AC16" s="265">
        <v>40</v>
      </c>
      <c r="AD16" s="265"/>
      <c r="AE16" s="849"/>
      <c r="AF16" s="849"/>
      <c r="AG16" s="849"/>
      <c r="AH16" s="849"/>
      <c r="AI16" s="849"/>
      <c r="AJ16" s="849"/>
      <c r="AK16" s="849"/>
      <c r="AL16" s="849"/>
      <c r="AM16" s="849"/>
      <c r="AN16" s="265">
        <f t="shared" si="2"/>
        <v>40</v>
      </c>
      <c r="AO16" s="448">
        <v>46027</v>
      </c>
      <c r="AP16" s="448">
        <v>46361</v>
      </c>
      <c r="AQ16" s="847" t="s">
        <v>898</v>
      </c>
    </row>
    <row r="17" spans="1:44" ht="60" customHeight="1">
      <c r="A17" s="627">
        <v>2</v>
      </c>
      <c r="B17" s="843" t="s">
        <v>326</v>
      </c>
      <c r="C17" s="23">
        <v>39</v>
      </c>
      <c r="D17" s="133" t="s">
        <v>906</v>
      </c>
      <c r="E17" s="23">
        <v>3906</v>
      </c>
      <c r="F17" s="133" t="s">
        <v>907</v>
      </c>
      <c r="G17" s="23">
        <v>3906009</v>
      </c>
      <c r="H17" s="755" t="s">
        <v>915</v>
      </c>
      <c r="I17" s="23" t="s">
        <v>916</v>
      </c>
      <c r="J17" s="844" t="s">
        <v>917</v>
      </c>
      <c r="K17" s="265">
        <v>1</v>
      </c>
      <c r="L17" s="265"/>
      <c r="M17" s="265">
        <f t="shared" si="0"/>
        <v>1</v>
      </c>
      <c r="N17" s="23">
        <v>2024003630054</v>
      </c>
      <c r="O17" s="755" t="s">
        <v>910</v>
      </c>
      <c r="P17" s="848" t="s">
        <v>918</v>
      </c>
      <c r="Q17" s="845">
        <v>20000000</v>
      </c>
      <c r="R17" s="848">
        <v>10200000</v>
      </c>
      <c r="S17" s="845"/>
      <c r="T17" s="845"/>
      <c r="U17" s="846">
        <f t="shared" si="1"/>
        <v>9800000</v>
      </c>
      <c r="V17" s="612" t="s">
        <v>919</v>
      </c>
      <c r="W17" s="265">
        <v>20</v>
      </c>
      <c r="X17" s="141" t="s">
        <v>67</v>
      </c>
      <c r="Y17" s="265">
        <v>27</v>
      </c>
      <c r="Z17" s="265">
        <v>23</v>
      </c>
      <c r="AA17" s="265"/>
      <c r="AB17" s="265"/>
      <c r="AC17" s="265">
        <v>40</v>
      </c>
      <c r="AD17" s="265"/>
      <c r="AE17" s="849"/>
      <c r="AF17" s="849"/>
      <c r="AG17" s="849"/>
      <c r="AH17" s="849"/>
      <c r="AI17" s="849"/>
      <c r="AJ17" s="849"/>
      <c r="AK17" s="849"/>
      <c r="AL17" s="849"/>
      <c r="AM17" s="849"/>
      <c r="AN17" s="265">
        <f t="shared" si="2"/>
        <v>40</v>
      </c>
      <c r="AO17" s="448">
        <v>46027</v>
      </c>
      <c r="AP17" s="448">
        <v>46361</v>
      </c>
      <c r="AQ17" s="847" t="s">
        <v>898</v>
      </c>
    </row>
    <row r="18" spans="1:44" ht="60" customHeight="1">
      <c r="A18" s="627">
        <v>2</v>
      </c>
      <c r="B18" s="843" t="s">
        <v>326</v>
      </c>
      <c r="C18" s="23">
        <v>39</v>
      </c>
      <c r="D18" s="133" t="s">
        <v>906</v>
      </c>
      <c r="E18" s="23">
        <v>3906</v>
      </c>
      <c r="F18" s="133" t="s">
        <v>907</v>
      </c>
      <c r="G18" s="23">
        <v>3906009</v>
      </c>
      <c r="H18" s="755" t="s">
        <v>915</v>
      </c>
      <c r="I18" s="23">
        <v>390600900</v>
      </c>
      <c r="J18" s="844" t="s">
        <v>917</v>
      </c>
      <c r="K18" s="265">
        <v>1</v>
      </c>
      <c r="L18" s="265"/>
      <c r="M18" s="265">
        <f t="shared" si="0"/>
        <v>1</v>
      </c>
      <c r="N18" s="23">
        <v>2024003630054</v>
      </c>
      <c r="O18" s="755" t="s">
        <v>910</v>
      </c>
      <c r="P18" s="848" t="s">
        <v>920</v>
      </c>
      <c r="Q18" s="845">
        <v>10000000</v>
      </c>
      <c r="R18" s="848"/>
      <c r="S18" s="845"/>
      <c r="T18" s="845"/>
      <c r="U18" s="846">
        <f t="shared" si="1"/>
        <v>10000000</v>
      </c>
      <c r="V18" s="612" t="s">
        <v>921</v>
      </c>
      <c r="W18" s="265">
        <v>20</v>
      </c>
      <c r="X18" s="141" t="s">
        <v>67</v>
      </c>
      <c r="Y18" s="265">
        <v>27</v>
      </c>
      <c r="Z18" s="265">
        <v>23</v>
      </c>
      <c r="AA18" s="265"/>
      <c r="AB18" s="265"/>
      <c r="AC18" s="265">
        <v>40</v>
      </c>
      <c r="AD18" s="265"/>
      <c r="AE18" s="849"/>
      <c r="AF18" s="849"/>
      <c r="AG18" s="849"/>
      <c r="AH18" s="849"/>
      <c r="AI18" s="849"/>
      <c r="AJ18" s="849"/>
      <c r="AK18" s="849"/>
      <c r="AL18" s="849"/>
      <c r="AM18" s="849"/>
      <c r="AN18" s="265">
        <f t="shared" si="2"/>
        <v>40</v>
      </c>
      <c r="AO18" s="448">
        <v>46086</v>
      </c>
      <c r="AP18" s="448">
        <v>46249</v>
      </c>
      <c r="AQ18" s="847" t="s">
        <v>898</v>
      </c>
    </row>
    <row r="19" spans="1:44" ht="60" customHeight="1">
      <c r="A19" s="627">
        <v>4</v>
      </c>
      <c r="B19" s="843" t="s">
        <v>253</v>
      </c>
      <c r="C19" s="23">
        <v>45</v>
      </c>
      <c r="D19" s="133" t="s">
        <v>851</v>
      </c>
      <c r="E19" s="23">
        <v>4599</v>
      </c>
      <c r="F19" s="133" t="s">
        <v>60</v>
      </c>
      <c r="G19" s="23">
        <v>4599001</v>
      </c>
      <c r="H19" s="755" t="s">
        <v>220</v>
      </c>
      <c r="I19" s="23">
        <v>459900100</v>
      </c>
      <c r="J19" s="844" t="s">
        <v>222</v>
      </c>
      <c r="K19" s="265">
        <v>1</v>
      </c>
      <c r="L19" s="265"/>
      <c r="M19" s="265">
        <v>1</v>
      </c>
      <c r="N19" s="23">
        <v>2024003630065</v>
      </c>
      <c r="O19" s="755" t="s">
        <v>922</v>
      </c>
      <c r="P19" s="145" t="s">
        <v>923</v>
      </c>
      <c r="Q19" s="845">
        <v>40000000</v>
      </c>
      <c r="R19" s="845">
        <f>10000000+16000000</f>
        <v>26000000</v>
      </c>
      <c r="S19" s="845"/>
      <c r="T19" s="845"/>
      <c r="U19" s="846">
        <f t="shared" si="1"/>
        <v>14000000</v>
      </c>
      <c r="V19" s="612" t="s">
        <v>924</v>
      </c>
      <c r="W19" s="265">
        <v>20</v>
      </c>
      <c r="X19" s="141" t="s">
        <v>67</v>
      </c>
      <c r="Y19" s="265">
        <v>674</v>
      </c>
      <c r="Z19" s="265">
        <v>1008</v>
      </c>
      <c r="AA19" s="265"/>
      <c r="AB19" s="265"/>
      <c r="AC19" s="265">
        <f>SUM(Y19:Z19)</f>
        <v>1682</v>
      </c>
      <c r="AD19" s="265"/>
      <c r="AE19" s="265"/>
      <c r="AF19" s="265"/>
      <c r="AG19" s="265"/>
      <c r="AH19" s="265"/>
      <c r="AI19" s="265"/>
      <c r="AJ19" s="265"/>
      <c r="AK19" s="265"/>
      <c r="AL19" s="265"/>
      <c r="AM19" s="265"/>
      <c r="AN19" s="265">
        <f t="shared" si="2"/>
        <v>1682</v>
      </c>
      <c r="AO19" s="448">
        <v>46027</v>
      </c>
      <c r="AP19" s="448">
        <v>46361</v>
      </c>
      <c r="AQ19" s="847" t="s">
        <v>898</v>
      </c>
    </row>
    <row r="20" spans="1:44" ht="79.349999999999994" customHeight="1">
      <c r="A20" s="627">
        <v>3</v>
      </c>
      <c r="B20" s="843" t="s">
        <v>892</v>
      </c>
      <c r="C20" s="23">
        <v>35</v>
      </c>
      <c r="D20" s="133" t="s">
        <v>748</v>
      </c>
      <c r="E20" s="23">
        <v>3502</v>
      </c>
      <c r="F20" s="133" t="s">
        <v>749</v>
      </c>
      <c r="G20" s="23">
        <v>3502039</v>
      </c>
      <c r="H20" s="755" t="s">
        <v>925</v>
      </c>
      <c r="I20" s="23">
        <v>350203900</v>
      </c>
      <c r="J20" s="844" t="s">
        <v>230</v>
      </c>
      <c r="K20" s="265">
        <v>12</v>
      </c>
      <c r="L20" s="265"/>
      <c r="M20" s="265">
        <f>K20</f>
        <v>12</v>
      </c>
      <c r="N20" s="23">
        <v>2024003630069</v>
      </c>
      <c r="O20" s="755" t="s">
        <v>926</v>
      </c>
      <c r="P20" s="843" t="s">
        <v>927</v>
      </c>
      <c r="Q20" s="845">
        <v>92000000</v>
      </c>
      <c r="R20" s="845">
        <f>12000000+14800000+14800000+10800000+14800000+4300000</f>
        <v>71500000</v>
      </c>
      <c r="S20" s="845"/>
      <c r="T20" s="845"/>
      <c r="U20" s="846">
        <f t="shared" si="1"/>
        <v>20500000</v>
      </c>
      <c r="V20" s="612" t="s">
        <v>928</v>
      </c>
      <c r="W20" s="265">
        <v>20</v>
      </c>
      <c r="X20" s="141" t="s">
        <v>67</v>
      </c>
      <c r="Y20" s="460">
        <v>1666</v>
      </c>
      <c r="Z20" s="460">
        <v>1363</v>
      </c>
      <c r="AA20" s="460">
        <v>302</v>
      </c>
      <c r="AB20" s="460">
        <v>925</v>
      </c>
      <c r="AC20" s="460">
        <v>1802</v>
      </c>
      <c r="AD20" s="850"/>
      <c r="AE20" s="850"/>
      <c r="AF20" s="850"/>
      <c r="AG20" s="850"/>
      <c r="AH20" s="850"/>
      <c r="AI20" s="850"/>
      <c r="AJ20" s="850"/>
      <c r="AK20" s="850"/>
      <c r="AL20" s="850"/>
      <c r="AM20" s="850"/>
      <c r="AN20" s="265">
        <f t="shared" si="2"/>
        <v>3029</v>
      </c>
      <c r="AO20" s="448">
        <v>46027</v>
      </c>
      <c r="AP20" s="448">
        <v>46361</v>
      </c>
      <c r="AQ20" s="847" t="s">
        <v>898</v>
      </c>
    </row>
    <row r="21" spans="1:44" ht="104.25" customHeight="1">
      <c r="A21" s="627">
        <v>3</v>
      </c>
      <c r="B21" s="843" t="s">
        <v>892</v>
      </c>
      <c r="C21" s="23">
        <v>35</v>
      </c>
      <c r="D21" s="133" t="s">
        <v>748</v>
      </c>
      <c r="E21" s="23">
        <v>3502</v>
      </c>
      <c r="F21" s="133" t="s">
        <v>749</v>
      </c>
      <c r="G21" s="23">
        <v>3502039</v>
      </c>
      <c r="H21" s="755" t="s">
        <v>925</v>
      </c>
      <c r="I21" s="23">
        <v>350203900</v>
      </c>
      <c r="J21" s="844" t="s">
        <v>230</v>
      </c>
      <c r="K21" s="265">
        <v>12</v>
      </c>
      <c r="L21" s="265"/>
      <c r="M21" s="265">
        <f t="shared" ref="M21:M29" si="3">K21</f>
        <v>12</v>
      </c>
      <c r="N21" s="23">
        <v>2024003630069</v>
      </c>
      <c r="O21" s="755" t="s">
        <v>926</v>
      </c>
      <c r="P21" s="843" t="s">
        <v>929</v>
      </c>
      <c r="Q21" s="845">
        <f>82000000-20000000</f>
        <v>62000000</v>
      </c>
      <c r="R21" s="845">
        <f>16000000+5600000+10800000+10800000</f>
        <v>43200000</v>
      </c>
      <c r="S21" s="845"/>
      <c r="T21" s="845"/>
      <c r="U21" s="846">
        <f t="shared" si="1"/>
        <v>18800000</v>
      </c>
      <c r="V21" s="612" t="s">
        <v>928</v>
      </c>
      <c r="W21" s="265">
        <v>20</v>
      </c>
      <c r="X21" s="141" t="s">
        <v>67</v>
      </c>
      <c r="Y21" s="460">
        <v>1666</v>
      </c>
      <c r="Z21" s="460">
        <v>1363</v>
      </c>
      <c r="AA21" s="460">
        <v>302</v>
      </c>
      <c r="AB21" s="460">
        <v>925</v>
      </c>
      <c r="AC21" s="460">
        <v>1802</v>
      </c>
      <c r="AD21" s="850"/>
      <c r="AE21" s="850"/>
      <c r="AF21" s="850"/>
      <c r="AG21" s="850"/>
      <c r="AH21" s="850"/>
      <c r="AI21" s="850"/>
      <c r="AJ21" s="850"/>
      <c r="AK21" s="850"/>
      <c r="AL21" s="850"/>
      <c r="AM21" s="850"/>
      <c r="AN21" s="265">
        <f t="shared" si="2"/>
        <v>3029</v>
      </c>
      <c r="AO21" s="448">
        <v>46027</v>
      </c>
      <c r="AP21" s="448">
        <v>46361</v>
      </c>
      <c r="AQ21" s="847" t="s">
        <v>898</v>
      </c>
    </row>
    <row r="22" spans="1:44" ht="105.75" customHeight="1">
      <c r="A22" s="627">
        <v>3</v>
      </c>
      <c r="B22" s="843" t="s">
        <v>892</v>
      </c>
      <c r="C22" s="23">
        <v>35</v>
      </c>
      <c r="D22" s="133" t="s">
        <v>748</v>
      </c>
      <c r="E22" s="23">
        <v>3502</v>
      </c>
      <c r="F22" s="133" t="s">
        <v>749</v>
      </c>
      <c r="G22" s="23">
        <v>3502039</v>
      </c>
      <c r="H22" s="755" t="s">
        <v>925</v>
      </c>
      <c r="I22" s="23">
        <v>350203900</v>
      </c>
      <c r="J22" s="844" t="s">
        <v>230</v>
      </c>
      <c r="K22" s="265">
        <v>12</v>
      </c>
      <c r="L22" s="265"/>
      <c r="M22" s="265">
        <f t="shared" si="3"/>
        <v>12</v>
      </c>
      <c r="N22" s="23">
        <v>2024003630069</v>
      </c>
      <c r="O22" s="755" t="s">
        <v>926</v>
      </c>
      <c r="P22" s="145" t="s">
        <v>930</v>
      </c>
      <c r="Q22" s="845">
        <f>82000000-20000000</f>
        <v>62000000</v>
      </c>
      <c r="R22" s="845">
        <f>9200000+14800000</f>
        <v>24000000</v>
      </c>
      <c r="S22" s="845"/>
      <c r="T22" s="845"/>
      <c r="U22" s="846">
        <f t="shared" si="1"/>
        <v>38000000</v>
      </c>
      <c r="V22" s="612" t="s">
        <v>928</v>
      </c>
      <c r="W22" s="265">
        <v>20</v>
      </c>
      <c r="X22" s="141" t="s">
        <v>67</v>
      </c>
      <c r="Y22" s="460">
        <v>1666</v>
      </c>
      <c r="Z22" s="460">
        <v>1363</v>
      </c>
      <c r="AA22" s="460">
        <v>302</v>
      </c>
      <c r="AB22" s="460">
        <v>925</v>
      </c>
      <c r="AC22" s="460">
        <v>1802</v>
      </c>
      <c r="AD22" s="850"/>
      <c r="AE22" s="850"/>
      <c r="AF22" s="850"/>
      <c r="AG22" s="850"/>
      <c r="AH22" s="850"/>
      <c r="AI22" s="850"/>
      <c r="AJ22" s="850"/>
      <c r="AK22" s="850"/>
      <c r="AL22" s="850"/>
      <c r="AM22" s="850"/>
      <c r="AN22" s="265">
        <f t="shared" si="2"/>
        <v>3029</v>
      </c>
      <c r="AO22" s="448">
        <v>46027</v>
      </c>
      <c r="AP22" s="448">
        <v>46361</v>
      </c>
      <c r="AQ22" s="847" t="s">
        <v>898</v>
      </c>
    </row>
    <row r="23" spans="1:44" ht="60" customHeight="1">
      <c r="A23" s="627">
        <v>3</v>
      </c>
      <c r="B23" s="843" t="s">
        <v>892</v>
      </c>
      <c r="C23" s="23">
        <v>35</v>
      </c>
      <c r="D23" s="133" t="s">
        <v>748</v>
      </c>
      <c r="E23" s="23">
        <v>3502</v>
      </c>
      <c r="F23" s="133" t="s">
        <v>749</v>
      </c>
      <c r="G23" s="23">
        <v>3502039</v>
      </c>
      <c r="H23" s="755" t="s">
        <v>925</v>
      </c>
      <c r="I23" s="23">
        <v>350203900</v>
      </c>
      <c r="J23" s="844" t="s">
        <v>230</v>
      </c>
      <c r="K23" s="265">
        <v>12</v>
      </c>
      <c r="L23" s="265"/>
      <c r="M23" s="265">
        <f t="shared" si="3"/>
        <v>12</v>
      </c>
      <c r="N23" s="23">
        <v>2024003630069</v>
      </c>
      <c r="O23" s="755" t="s">
        <v>926</v>
      </c>
      <c r="P23" s="145" t="s">
        <v>931</v>
      </c>
      <c r="Q23" s="845">
        <v>82000000</v>
      </c>
      <c r="R23" s="845">
        <f>10800000+14800000+14000000+14800000</f>
        <v>54400000</v>
      </c>
      <c r="S23" s="845"/>
      <c r="T23" s="845"/>
      <c r="U23" s="846">
        <f t="shared" si="1"/>
        <v>27600000</v>
      </c>
      <c r="V23" s="612" t="s">
        <v>928</v>
      </c>
      <c r="W23" s="265">
        <v>20</v>
      </c>
      <c r="X23" s="141" t="s">
        <v>67</v>
      </c>
      <c r="Y23" s="460">
        <v>1666</v>
      </c>
      <c r="Z23" s="460">
        <v>1363</v>
      </c>
      <c r="AA23" s="460">
        <v>302</v>
      </c>
      <c r="AB23" s="460">
        <v>925</v>
      </c>
      <c r="AC23" s="460">
        <v>1802</v>
      </c>
      <c r="AD23" s="850"/>
      <c r="AE23" s="850"/>
      <c r="AF23" s="850"/>
      <c r="AG23" s="850"/>
      <c r="AH23" s="850"/>
      <c r="AI23" s="850"/>
      <c r="AJ23" s="850"/>
      <c r="AK23" s="850"/>
      <c r="AL23" s="850"/>
      <c r="AM23" s="850"/>
      <c r="AN23" s="265">
        <f t="shared" si="2"/>
        <v>3029</v>
      </c>
      <c r="AO23" s="448">
        <v>46027</v>
      </c>
      <c r="AP23" s="448">
        <v>46361</v>
      </c>
      <c r="AQ23" s="847" t="s">
        <v>898</v>
      </c>
    </row>
    <row r="24" spans="1:44" ht="74.25" customHeight="1">
      <c r="A24" s="627">
        <v>3</v>
      </c>
      <c r="B24" s="843" t="s">
        <v>892</v>
      </c>
      <c r="C24" s="23">
        <v>35</v>
      </c>
      <c r="D24" s="133" t="s">
        <v>748</v>
      </c>
      <c r="E24" s="23">
        <v>3502</v>
      </c>
      <c r="F24" s="133" t="s">
        <v>749</v>
      </c>
      <c r="G24" s="23">
        <v>3502039</v>
      </c>
      <c r="H24" s="755" t="s">
        <v>925</v>
      </c>
      <c r="I24" s="23">
        <v>350203900</v>
      </c>
      <c r="J24" s="844" t="s">
        <v>230</v>
      </c>
      <c r="K24" s="265">
        <v>12</v>
      </c>
      <c r="L24" s="265"/>
      <c r="M24" s="265">
        <f t="shared" si="3"/>
        <v>12</v>
      </c>
      <c r="N24" s="23">
        <v>2024003630069</v>
      </c>
      <c r="O24" s="755" t="s">
        <v>926</v>
      </c>
      <c r="P24" s="145" t="s">
        <v>932</v>
      </c>
      <c r="Q24" s="845">
        <v>72000000</v>
      </c>
      <c r="R24" s="845">
        <f>2000000+14800000+10500000+14800000</f>
        <v>42100000</v>
      </c>
      <c r="S24" s="845"/>
      <c r="T24" s="845"/>
      <c r="U24" s="846">
        <f t="shared" si="1"/>
        <v>29900000</v>
      </c>
      <c r="V24" s="612" t="s">
        <v>928</v>
      </c>
      <c r="W24" s="265">
        <v>20</v>
      </c>
      <c r="X24" s="141" t="s">
        <v>67</v>
      </c>
      <c r="Y24" s="460">
        <v>1666</v>
      </c>
      <c r="Z24" s="460">
        <v>1363</v>
      </c>
      <c r="AA24" s="460">
        <v>302</v>
      </c>
      <c r="AB24" s="460">
        <v>925</v>
      </c>
      <c r="AC24" s="460">
        <v>1802</v>
      </c>
      <c r="AD24" s="850"/>
      <c r="AE24" s="850"/>
      <c r="AF24" s="850"/>
      <c r="AG24" s="850"/>
      <c r="AH24" s="850"/>
      <c r="AI24" s="850"/>
      <c r="AJ24" s="850"/>
      <c r="AK24" s="850"/>
      <c r="AL24" s="850"/>
      <c r="AM24" s="850"/>
      <c r="AN24" s="265">
        <f t="shared" si="2"/>
        <v>3029</v>
      </c>
      <c r="AO24" s="448">
        <v>46027</v>
      </c>
      <c r="AP24" s="448">
        <v>46361</v>
      </c>
      <c r="AQ24" s="847" t="s">
        <v>898</v>
      </c>
    </row>
    <row r="25" spans="1:44" ht="60" customHeight="1">
      <c r="A25" s="627">
        <v>3</v>
      </c>
      <c r="B25" s="843" t="s">
        <v>892</v>
      </c>
      <c r="C25" s="23">
        <v>35</v>
      </c>
      <c r="D25" s="133" t="s">
        <v>748</v>
      </c>
      <c r="E25" s="23">
        <v>3502</v>
      </c>
      <c r="F25" s="133" t="s">
        <v>749</v>
      </c>
      <c r="G25" s="23">
        <v>3502039</v>
      </c>
      <c r="H25" s="755" t="s">
        <v>925</v>
      </c>
      <c r="I25" s="23">
        <v>350203910</v>
      </c>
      <c r="J25" s="844" t="s">
        <v>933</v>
      </c>
      <c r="K25" s="265">
        <v>2</v>
      </c>
      <c r="L25" s="265"/>
      <c r="M25" s="265">
        <f t="shared" si="3"/>
        <v>2</v>
      </c>
      <c r="N25" s="23">
        <v>2024003630069</v>
      </c>
      <c r="O25" s="755" t="s">
        <v>926</v>
      </c>
      <c r="P25" s="145" t="s">
        <v>934</v>
      </c>
      <c r="Q25" s="845">
        <v>20000000</v>
      </c>
      <c r="R25" s="845">
        <v>12600000</v>
      </c>
      <c r="S25" s="845"/>
      <c r="T25" s="845"/>
      <c r="U25" s="846">
        <f t="shared" si="1"/>
        <v>7400000</v>
      </c>
      <c r="V25" s="612" t="s">
        <v>935</v>
      </c>
      <c r="W25" s="265">
        <v>20</v>
      </c>
      <c r="X25" s="141" t="s">
        <v>67</v>
      </c>
      <c r="Y25" s="460">
        <v>1666</v>
      </c>
      <c r="Z25" s="460">
        <v>1363</v>
      </c>
      <c r="AA25" s="460">
        <v>302</v>
      </c>
      <c r="AB25" s="460">
        <v>925</v>
      </c>
      <c r="AC25" s="460">
        <v>1802</v>
      </c>
      <c r="AD25" s="850"/>
      <c r="AE25" s="850"/>
      <c r="AF25" s="850"/>
      <c r="AG25" s="850"/>
      <c r="AH25" s="850"/>
      <c r="AI25" s="850"/>
      <c r="AJ25" s="850"/>
      <c r="AK25" s="850"/>
      <c r="AL25" s="850"/>
      <c r="AM25" s="850"/>
      <c r="AN25" s="265">
        <f t="shared" si="2"/>
        <v>3029</v>
      </c>
      <c r="AO25" s="448">
        <v>46086</v>
      </c>
      <c r="AP25" s="448">
        <v>46086</v>
      </c>
      <c r="AQ25" s="847" t="s">
        <v>898</v>
      </c>
    </row>
    <row r="26" spans="1:44" ht="81.75" customHeight="1">
      <c r="A26" s="627">
        <v>2</v>
      </c>
      <c r="B26" s="843" t="s">
        <v>326</v>
      </c>
      <c r="C26" s="23">
        <v>35</v>
      </c>
      <c r="D26" s="133" t="s">
        <v>748</v>
      </c>
      <c r="E26" s="23">
        <v>3502</v>
      </c>
      <c r="F26" s="133" t="s">
        <v>749</v>
      </c>
      <c r="G26" s="23">
        <v>3502095</v>
      </c>
      <c r="H26" s="755" t="s">
        <v>936</v>
      </c>
      <c r="I26" s="23">
        <v>350209500</v>
      </c>
      <c r="J26" s="844" t="s">
        <v>937</v>
      </c>
      <c r="K26" s="265">
        <v>12</v>
      </c>
      <c r="L26" s="265"/>
      <c r="M26" s="265">
        <f t="shared" si="3"/>
        <v>12</v>
      </c>
      <c r="N26" s="23">
        <v>2024003630069</v>
      </c>
      <c r="O26" s="755" t="s">
        <v>926</v>
      </c>
      <c r="P26" s="145" t="s">
        <v>938</v>
      </c>
      <c r="Q26" s="845">
        <v>30000000</v>
      </c>
      <c r="R26" s="845"/>
      <c r="S26" s="845"/>
      <c r="T26" s="845"/>
      <c r="U26" s="846">
        <f t="shared" si="1"/>
        <v>30000000</v>
      </c>
      <c r="V26" s="612" t="s">
        <v>939</v>
      </c>
      <c r="W26" s="265">
        <v>20</v>
      </c>
      <c r="X26" s="141" t="s">
        <v>67</v>
      </c>
      <c r="Y26" s="460">
        <v>1666</v>
      </c>
      <c r="Z26" s="460">
        <v>1363</v>
      </c>
      <c r="AA26" s="460">
        <v>302</v>
      </c>
      <c r="AB26" s="460">
        <v>925</v>
      </c>
      <c r="AC26" s="460">
        <v>1802</v>
      </c>
      <c r="AD26" s="850"/>
      <c r="AE26" s="850"/>
      <c r="AF26" s="850"/>
      <c r="AG26" s="850"/>
      <c r="AH26" s="850"/>
      <c r="AI26" s="850"/>
      <c r="AJ26" s="850"/>
      <c r="AK26" s="850"/>
      <c r="AL26" s="850"/>
      <c r="AM26" s="850"/>
      <c r="AN26" s="265">
        <f t="shared" si="2"/>
        <v>3029</v>
      </c>
      <c r="AO26" s="448">
        <v>46027</v>
      </c>
      <c r="AP26" s="448">
        <v>46361</v>
      </c>
      <c r="AQ26" s="847" t="s">
        <v>898</v>
      </c>
    </row>
    <row r="27" spans="1:44" ht="72" customHeight="1">
      <c r="A27" s="627">
        <v>2</v>
      </c>
      <c r="B27" s="843" t="s">
        <v>326</v>
      </c>
      <c r="C27" s="23">
        <v>35</v>
      </c>
      <c r="D27" s="133" t="s">
        <v>748</v>
      </c>
      <c r="E27" s="23">
        <v>3502</v>
      </c>
      <c r="F27" s="133" t="s">
        <v>749</v>
      </c>
      <c r="G27" s="23">
        <v>3502095</v>
      </c>
      <c r="H27" s="755" t="s">
        <v>936</v>
      </c>
      <c r="I27" s="23">
        <v>350209500</v>
      </c>
      <c r="J27" s="844" t="s">
        <v>937</v>
      </c>
      <c r="K27" s="265">
        <v>12</v>
      </c>
      <c r="L27" s="265"/>
      <c r="M27" s="265">
        <f t="shared" si="3"/>
        <v>12</v>
      </c>
      <c r="N27" s="23">
        <v>2024003630069</v>
      </c>
      <c r="O27" s="755" t="s">
        <v>926</v>
      </c>
      <c r="P27" s="145" t="s">
        <v>940</v>
      </c>
      <c r="Q27" s="851">
        <v>30000000</v>
      </c>
      <c r="R27" s="845">
        <v>800000</v>
      </c>
      <c r="S27" s="845"/>
      <c r="T27" s="845"/>
      <c r="U27" s="846">
        <f t="shared" si="1"/>
        <v>29200000</v>
      </c>
      <c r="V27" s="612" t="s">
        <v>939</v>
      </c>
      <c r="W27" s="265">
        <v>20</v>
      </c>
      <c r="X27" s="141" t="s">
        <v>67</v>
      </c>
      <c r="Y27" s="460">
        <v>1666</v>
      </c>
      <c r="Z27" s="460">
        <v>1363</v>
      </c>
      <c r="AA27" s="460">
        <v>302</v>
      </c>
      <c r="AB27" s="460">
        <v>925</v>
      </c>
      <c r="AC27" s="460">
        <v>1802</v>
      </c>
      <c r="AD27" s="850"/>
      <c r="AE27" s="850"/>
      <c r="AF27" s="850"/>
      <c r="AG27" s="850"/>
      <c r="AH27" s="850"/>
      <c r="AI27" s="850"/>
      <c r="AJ27" s="850"/>
      <c r="AK27" s="850"/>
      <c r="AL27" s="850"/>
      <c r="AM27" s="850"/>
      <c r="AN27" s="265">
        <f t="shared" si="2"/>
        <v>3029</v>
      </c>
      <c r="AO27" s="448">
        <v>46027</v>
      </c>
      <c r="AP27" s="448">
        <v>46361</v>
      </c>
      <c r="AQ27" s="847" t="s">
        <v>898</v>
      </c>
    </row>
    <row r="28" spans="1:44" ht="60" customHeight="1">
      <c r="A28" s="819">
        <v>3</v>
      </c>
      <c r="B28" s="295" t="s">
        <v>892</v>
      </c>
      <c r="C28" s="23">
        <v>35</v>
      </c>
      <c r="D28" s="133" t="s">
        <v>748</v>
      </c>
      <c r="E28" s="23">
        <v>3502</v>
      </c>
      <c r="F28" s="133" t="s">
        <v>749</v>
      </c>
      <c r="G28" s="23">
        <v>3502094</v>
      </c>
      <c r="H28" s="755" t="s">
        <v>941</v>
      </c>
      <c r="I28" s="23">
        <v>350209400</v>
      </c>
      <c r="J28" s="844" t="s">
        <v>942</v>
      </c>
      <c r="K28" s="265">
        <v>1</v>
      </c>
      <c r="L28" s="265"/>
      <c r="M28" s="265">
        <f t="shared" si="3"/>
        <v>1</v>
      </c>
      <c r="N28" s="23">
        <v>2024003630069</v>
      </c>
      <c r="O28" s="755" t="s">
        <v>926</v>
      </c>
      <c r="P28" s="852" t="s">
        <v>943</v>
      </c>
      <c r="Q28" s="845">
        <v>100000000</v>
      </c>
      <c r="R28" s="845">
        <f>14800000+14800000</f>
        <v>29600000</v>
      </c>
      <c r="S28" s="845"/>
      <c r="T28" s="845"/>
      <c r="U28" s="846">
        <f t="shared" si="1"/>
        <v>70400000</v>
      </c>
      <c r="V28" s="612" t="s">
        <v>944</v>
      </c>
      <c r="W28" s="265">
        <v>20</v>
      </c>
      <c r="X28" s="141" t="s">
        <v>67</v>
      </c>
      <c r="Y28" s="460">
        <v>1666</v>
      </c>
      <c r="Z28" s="460">
        <v>1363</v>
      </c>
      <c r="AA28" s="460">
        <v>302</v>
      </c>
      <c r="AB28" s="460">
        <v>925</v>
      </c>
      <c r="AC28" s="460">
        <v>1802</v>
      </c>
      <c r="AD28" s="850"/>
      <c r="AE28" s="850"/>
      <c r="AF28" s="850"/>
      <c r="AG28" s="850"/>
      <c r="AH28" s="850"/>
      <c r="AI28" s="850"/>
      <c r="AJ28" s="850"/>
      <c r="AK28" s="850"/>
      <c r="AL28" s="850"/>
      <c r="AM28" s="850"/>
      <c r="AN28" s="265">
        <f t="shared" si="2"/>
        <v>3029</v>
      </c>
      <c r="AO28" s="448">
        <v>46101</v>
      </c>
      <c r="AP28" s="448">
        <v>46376</v>
      </c>
      <c r="AQ28" s="847" t="s">
        <v>898</v>
      </c>
      <c r="AR28" s="17"/>
    </row>
    <row r="29" spans="1:44" ht="60" customHeight="1">
      <c r="A29" s="819">
        <v>3</v>
      </c>
      <c r="B29" s="295" t="s">
        <v>892</v>
      </c>
      <c r="C29" s="23">
        <v>35</v>
      </c>
      <c r="D29" s="133" t="s">
        <v>748</v>
      </c>
      <c r="E29" s="23">
        <v>3502</v>
      </c>
      <c r="F29" s="133" t="s">
        <v>749</v>
      </c>
      <c r="G29" s="23">
        <v>3502047</v>
      </c>
      <c r="H29" s="755" t="s">
        <v>491</v>
      </c>
      <c r="I29" s="23">
        <v>350204700</v>
      </c>
      <c r="J29" s="844" t="s">
        <v>945</v>
      </c>
      <c r="K29" s="265">
        <v>0</v>
      </c>
      <c r="L29" s="265"/>
      <c r="M29" s="265">
        <f t="shared" si="3"/>
        <v>0</v>
      </c>
      <c r="N29" s="23">
        <v>2024003630069</v>
      </c>
      <c r="O29" s="755" t="s">
        <v>926</v>
      </c>
      <c r="P29" s="853" t="s">
        <v>946</v>
      </c>
      <c r="Q29" s="845">
        <v>40000000</v>
      </c>
      <c r="R29" s="845">
        <v>14800000</v>
      </c>
      <c r="S29" s="845"/>
      <c r="T29" s="845"/>
      <c r="U29" s="846">
        <f t="shared" si="1"/>
        <v>25200000</v>
      </c>
      <c r="V29" s="612" t="s">
        <v>947</v>
      </c>
      <c r="W29" s="265">
        <v>20</v>
      </c>
      <c r="X29" s="141" t="s">
        <v>67</v>
      </c>
      <c r="Y29" s="265">
        <v>1666</v>
      </c>
      <c r="Z29" s="265">
        <v>1363</v>
      </c>
      <c r="AA29" s="265">
        <v>302</v>
      </c>
      <c r="AB29" s="265">
        <v>925</v>
      </c>
      <c r="AC29" s="265">
        <v>1802</v>
      </c>
      <c r="AD29" s="854"/>
      <c r="AE29" s="854"/>
      <c r="AF29" s="854"/>
      <c r="AG29" s="854"/>
      <c r="AH29" s="854"/>
      <c r="AI29" s="854"/>
      <c r="AJ29" s="854"/>
      <c r="AK29" s="854"/>
      <c r="AL29" s="854"/>
      <c r="AM29" s="854"/>
      <c r="AN29" s="265">
        <f t="shared" si="2"/>
        <v>3029</v>
      </c>
      <c r="AO29" s="448">
        <v>46101</v>
      </c>
      <c r="AP29" s="448">
        <v>46376</v>
      </c>
      <c r="AQ29" s="847" t="s">
        <v>898</v>
      </c>
      <c r="AR29" s="17"/>
    </row>
    <row r="30" spans="1:44" ht="60" customHeight="1">
      <c r="A30" s="627">
        <v>3</v>
      </c>
      <c r="B30" s="843" t="s">
        <v>892</v>
      </c>
      <c r="C30" s="23">
        <v>35</v>
      </c>
      <c r="D30" s="133" t="s">
        <v>748</v>
      </c>
      <c r="E30" s="23">
        <v>3502</v>
      </c>
      <c r="F30" s="133" t="s">
        <v>749</v>
      </c>
      <c r="G30" s="23">
        <v>3502046</v>
      </c>
      <c r="H30" s="755" t="s">
        <v>948</v>
      </c>
      <c r="I30" s="23">
        <v>350204600</v>
      </c>
      <c r="J30" s="844" t="s">
        <v>949</v>
      </c>
      <c r="K30" s="265">
        <v>4</v>
      </c>
      <c r="L30" s="265"/>
      <c r="M30" s="265">
        <f>K30</f>
        <v>4</v>
      </c>
      <c r="N30" s="23">
        <v>2024003630061</v>
      </c>
      <c r="O30" s="755" t="s">
        <v>950</v>
      </c>
      <c r="P30" s="843" t="s">
        <v>951</v>
      </c>
      <c r="Q30" s="855">
        <v>20000000</v>
      </c>
      <c r="R30" s="855"/>
      <c r="S30" s="855"/>
      <c r="T30" s="855"/>
      <c r="U30" s="846">
        <f t="shared" si="1"/>
        <v>20000000</v>
      </c>
      <c r="V30" s="612" t="s">
        <v>952</v>
      </c>
      <c r="W30" s="265">
        <v>52</v>
      </c>
      <c r="X30" s="28" t="s">
        <v>953</v>
      </c>
      <c r="Y30" s="850">
        <v>2064</v>
      </c>
      <c r="Z30" s="850">
        <v>1668</v>
      </c>
      <c r="AA30" s="850"/>
      <c r="AB30" s="850"/>
      <c r="AC30" s="460">
        <f t="shared" ref="AC30:AC40" si="4">SUM(Y30:Z30)</f>
        <v>3732</v>
      </c>
      <c r="AD30" s="856"/>
      <c r="AE30" s="856"/>
      <c r="AF30" s="856"/>
      <c r="AG30" s="856"/>
      <c r="AH30" s="856"/>
      <c r="AI30" s="856"/>
      <c r="AJ30" s="856"/>
      <c r="AK30" s="856"/>
      <c r="AL30" s="856"/>
      <c r="AM30" s="856"/>
      <c r="AN30" s="265">
        <f t="shared" si="2"/>
        <v>3732</v>
      </c>
      <c r="AO30" s="448">
        <v>46096</v>
      </c>
      <c r="AP30" s="448">
        <v>46006</v>
      </c>
      <c r="AQ30" s="847" t="s">
        <v>898</v>
      </c>
      <c r="AR30" s="17"/>
    </row>
    <row r="31" spans="1:44" ht="60" customHeight="1">
      <c r="A31" s="627">
        <v>3</v>
      </c>
      <c r="B31" s="843" t="s">
        <v>892</v>
      </c>
      <c r="C31" s="23">
        <v>35</v>
      </c>
      <c r="D31" s="133" t="s">
        <v>748</v>
      </c>
      <c r="E31" s="23">
        <v>3502</v>
      </c>
      <c r="F31" s="133" t="s">
        <v>749</v>
      </c>
      <c r="G31" s="23">
        <v>3502046</v>
      </c>
      <c r="H31" s="755" t="s">
        <v>948</v>
      </c>
      <c r="I31" s="23">
        <v>350204600</v>
      </c>
      <c r="J31" s="844" t="s">
        <v>949</v>
      </c>
      <c r="K31" s="265">
        <v>4</v>
      </c>
      <c r="L31" s="265"/>
      <c r="M31" s="265">
        <f t="shared" ref="M31:M36" si="5">K31</f>
        <v>4</v>
      </c>
      <c r="N31" s="23">
        <v>2024003630061</v>
      </c>
      <c r="O31" s="755" t="s">
        <v>950</v>
      </c>
      <c r="P31" s="843" t="s">
        <v>954</v>
      </c>
      <c r="Q31" s="855">
        <v>30000000</v>
      </c>
      <c r="R31" s="855"/>
      <c r="S31" s="855"/>
      <c r="T31" s="855"/>
      <c r="U31" s="846">
        <f t="shared" si="1"/>
        <v>30000000</v>
      </c>
      <c r="V31" s="612" t="s">
        <v>955</v>
      </c>
      <c r="W31" s="265">
        <v>20</v>
      </c>
      <c r="X31" s="133" t="s">
        <v>67</v>
      </c>
      <c r="Y31" s="850">
        <v>2064</v>
      </c>
      <c r="Z31" s="850">
        <v>1668</v>
      </c>
      <c r="AA31" s="850"/>
      <c r="AB31" s="850"/>
      <c r="AC31" s="460">
        <f t="shared" si="4"/>
        <v>3732</v>
      </c>
      <c r="AD31" s="856"/>
      <c r="AE31" s="856"/>
      <c r="AF31" s="856"/>
      <c r="AG31" s="856"/>
      <c r="AH31" s="856"/>
      <c r="AI31" s="856"/>
      <c r="AJ31" s="856"/>
      <c r="AK31" s="856"/>
      <c r="AL31" s="856"/>
      <c r="AM31" s="856"/>
      <c r="AN31" s="265">
        <f t="shared" si="2"/>
        <v>3732</v>
      </c>
      <c r="AO31" s="448">
        <v>46096</v>
      </c>
      <c r="AP31" s="448">
        <v>46157</v>
      </c>
      <c r="AQ31" s="847" t="s">
        <v>898</v>
      </c>
      <c r="AR31" s="17"/>
    </row>
    <row r="32" spans="1:44" ht="60" customHeight="1">
      <c r="A32" s="627">
        <v>3</v>
      </c>
      <c r="B32" s="843" t="s">
        <v>892</v>
      </c>
      <c r="C32" s="23">
        <v>35</v>
      </c>
      <c r="D32" s="133" t="s">
        <v>748</v>
      </c>
      <c r="E32" s="23">
        <v>3502</v>
      </c>
      <c r="F32" s="133" t="s">
        <v>749</v>
      </c>
      <c r="G32" s="23">
        <v>3502046</v>
      </c>
      <c r="H32" s="755" t="s">
        <v>948</v>
      </c>
      <c r="I32" s="23">
        <v>350204600</v>
      </c>
      <c r="J32" s="844" t="s">
        <v>949</v>
      </c>
      <c r="K32" s="265">
        <v>4</v>
      </c>
      <c r="L32" s="265"/>
      <c r="M32" s="265">
        <f t="shared" si="5"/>
        <v>4</v>
      </c>
      <c r="N32" s="23">
        <v>2024003630061</v>
      </c>
      <c r="O32" s="755" t="s">
        <v>950</v>
      </c>
      <c r="P32" s="843" t="s">
        <v>956</v>
      </c>
      <c r="Q32" s="855">
        <v>42500000</v>
      </c>
      <c r="R32" s="855"/>
      <c r="S32" s="855"/>
      <c r="T32" s="855"/>
      <c r="U32" s="846">
        <f t="shared" si="1"/>
        <v>42500000</v>
      </c>
      <c r="V32" s="612" t="s">
        <v>957</v>
      </c>
      <c r="W32" s="265">
        <v>52</v>
      </c>
      <c r="X32" s="28" t="s">
        <v>953</v>
      </c>
      <c r="Y32" s="850">
        <v>2064</v>
      </c>
      <c r="Z32" s="850">
        <v>1668</v>
      </c>
      <c r="AA32" s="850"/>
      <c r="AB32" s="850"/>
      <c r="AC32" s="460">
        <f t="shared" si="4"/>
        <v>3732</v>
      </c>
      <c r="AD32" s="856"/>
      <c r="AE32" s="856"/>
      <c r="AF32" s="856"/>
      <c r="AG32" s="856"/>
      <c r="AH32" s="856"/>
      <c r="AI32" s="856"/>
      <c r="AJ32" s="856"/>
      <c r="AK32" s="856"/>
      <c r="AL32" s="856"/>
      <c r="AM32" s="856"/>
      <c r="AN32" s="265">
        <f t="shared" si="2"/>
        <v>3732</v>
      </c>
      <c r="AO32" s="448">
        <v>46111</v>
      </c>
      <c r="AP32" s="448">
        <v>46371</v>
      </c>
      <c r="AQ32" s="847" t="s">
        <v>898</v>
      </c>
      <c r="AR32" s="17"/>
    </row>
    <row r="33" spans="1:44" ht="83.1" customHeight="1">
      <c r="A33" s="627">
        <v>3</v>
      </c>
      <c r="B33" s="843" t="s">
        <v>892</v>
      </c>
      <c r="C33" s="23">
        <v>35</v>
      </c>
      <c r="D33" s="133" t="s">
        <v>748</v>
      </c>
      <c r="E33" s="23">
        <v>3502</v>
      </c>
      <c r="F33" s="133" t="s">
        <v>749</v>
      </c>
      <c r="G33" s="23">
        <v>3502046</v>
      </c>
      <c r="H33" s="755" t="s">
        <v>948</v>
      </c>
      <c r="I33" s="23">
        <v>350204600</v>
      </c>
      <c r="J33" s="844" t="s">
        <v>949</v>
      </c>
      <c r="K33" s="265">
        <v>4</v>
      </c>
      <c r="L33" s="265"/>
      <c r="M33" s="265">
        <f t="shared" si="5"/>
        <v>4</v>
      </c>
      <c r="N33" s="23">
        <v>2024003630061</v>
      </c>
      <c r="O33" s="755" t="s">
        <v>950</v>
      </c>
      <c r="P33" s="145" t="s">
        <v>958</v>
      </c>
      <c r="Q33" s="857">
        <f>723058732.9+73423749.85</f>
        <v>796482482.75</v>
      </c>
      <c r="R33" s="855">
        <f>76482482.75+20000000+100000000</f>
        <v>196482482.75</v>
      </c>
      <c r="S33" s="855"/>
      <c r="T33" s="855"/>
      <c r="U33" s="846">
        <f t="shared" si="1"/>
        <v>600000000</v>
      </c>
      <c r="V33" s="612" t="s">
        <v>959</v>
      </c>
      <c r="W33" s="265">
        <v>52</v>
      </c>
      <c r="X33" s="28" t="s">
        <v>953</v>
      </c>
      <c r="Y33" s="850">
        <v>2064</v>
      </c>
      <c r="Z33" s="850">
        <v>1668</v>
      </c>
      <c r="AA33" s="850"/>
      <c r="AB33" s="850"/>
      <c r="AC33" s="460">
        <f t="shared" si="4"/>
        <v>3732</v>
      </c>
      <c r="AD33" s="856"/>
      <c r="AE33" s="856"/>
      <c r="AF33" s="856"/>
      <c r="AG33" s="856"/>
      <c r="AH33" s="856"/>
      <c r="AI33" s="856"/>
      <c r="AJ33" s="856"/>
      <c r="AK33" s="856"/>
      <c r="AL33" s="856"/>
      <c r="AM33" s="856"/>
      <c r="AN33" s="265">
        <f t="shared" si="2"/>
        <v>3732</v>
      </c>
      <c r="AO33" s="448">
        <v>46027</v>
      </c>
      <c r="AP33" s="448">
        <v>46371</v>
      </c>
      <c r="AQ33" s="847" t="s">
        <v>898</v>
      </c>
      <c r="AR33" s="17"/>
    </row>
    <row r="34" spans="1:44" ht="83.1" customHeight="1">
      <c r="A34" s="627">
        <v>3</v>
      </c>
      <c r="B34" s="843" t="s">
        <v>892</v>
      </c>
      <c r="C34" s="23">
        <v>35</v>
      </c>
      <c r="D34" s="133" t="s">
        <v>748</v>
      </c>
      <c r="E34" s="23">
        <v>3502</v>
      </c>
      <c r="F34" s="133" t="s">
        <v>749</v>
      </c>
      <c r="G34" s="23">
        <v>3502046</v>
      </c>
      <c r="H34" s="755" t="s">
        <v>948</v>
      </c>
      <c r="I34" s="23">
        <v>350204600</v>
      </c>
      <c r="J34" s="844" t="s">
        <v>949</v>
      </c>
      <c r="K34" s="265">
        <v>4</v>
      </c>
      <c r="L34" s="265"/>
      <c r="M34" s="265">
        <f t="shared" si="5"/>
        <v>4</v>
      </c>
      <c r="N34" s="23">
        <v>2024003630061</v>
      </c>
      <c r="O34" s="755" t="s">
        <v>950</v>
      </c>
      <c r="P34" s="145" t="s">
        <v>960</v>
      </c>
      <c r="Q34" s="857">
        <v>60000000</v>
      </c>
      <c r="R34" s="855">
        <f>60000000</f>
        <v>60000000</v>
      </c>
      <c r="S34" s="855"/>
      <c r="T34" s="855"/>
      <c r="U34" s="846">
        <f>+Q34-R34+S34-T34</f>
        <v>0</v>
      </c>
      <c r="V34" s="612" t="s">
        <v>959</v>
      </c>
      <c r="W34" s="265">
        <v>52</v>
      </c>
      <c r="X34" s="28" t="s">
        <v>953</v>
      </c>
      <c r="Y34" s="850">
        <v>2064</v>
      </c>
      <c r="Z34" s="850">
        <v>1668</v>
      </c>
      <c r="AA34" s="850"/>
      <c r="AB34" s="850"/>
      <c r="AC34" s="460">
        <f>SUM(Y34:Z34)</f>
        <v>3732</v>
      </c>
      <c r="AD34" s="856"/>
      <c r="AE34" s="856"/>
      <c r="AF34" s="856"/>
      <c r="AG34" s="856"/>
      <c r="AH34" s="856"/>
      <c r="AI34" s="856"/>
      <c r="AJ34" s="856"/>
      <c r="AK34" s="856"/>
      <c r="AL34" s="856"/>
      <c r="AM34" s="856"/>
      <c r="AN34" s="265">
        <f>SUM(AA34:AM34)</f>
        <v>3732</v>
      </c>
      <c r="AO34" s="448">
        <v>46027</v>
      </c>
      <c r="AP34" s="448">
        <v>46371</v>
      </c>
      <c r="AQ34" s="847" t="s">
        <v>898</v>
      </c>
      <c r="AR34" s="17"/>
    </row>
    <row r="35" spans="1:44" ht="83.1" customHeight="1">
      <c r="A35" s="627">
        <v>3</v>
      </c>
      <c r="B35" s="843" t="s">
        <v>892</v>
      </c>
      <c r="C35" s="23">
        <v>35</v>
      </c>
      <c r="D35" s="133" t="s">
        <v>748</v>
      </c>
      <c r="E35" s="23">
        <v>3502</v>
      </c>
      <c r="F35" s="133" t="s">
        <v>749</v>
      </c>
      <c r="G35" s="23">
        <v>3502046</v>
      </c>
      <c r="H35" s="755" t="s">
        <v>948</v>
      </c>
      <c r="I35" s="23">
        <v>350204600</v>
      </c>
      <c r="J35" s="844" t="s">
        <v>949</v>
      </c>
      <c r="K35" s="265">
        <v>4</v>
      </c>
      <c r="L35" s="265"/>
      <c r="M35" s="265">
        <f t="shared" si="5"/>
        <v>4</v>
      </c>
      <c r="N35" s="23">
        <v>2024003630061</v>
      </c>
      <c r="O35" s="755" t="s">
        <v>950</v>
      </c>
      <c r="P35" s="145" t="s">
        <v>961</v>
      </c>
      <c r="Q35" s="857">
        <v>62500000</v>
      </c>
      <c r="R35" s="855">
        <f>14800000+2200000+14800000+6900000</f>
        <v>38700000</v>
      </c>
      <c r="S35" s="855"/>
      <c r="T35" s="855"/>
      <c r="U35" s="846"/>
      <c r="V35" s="612" t="s">
        <v>959</v>
      </c>
      <c r="W35" s="265">
        <v>52</v>
      </c>
      <c r="X35" s="28" t="s">
        <v>953</v>
      </c>
      <c r="Y35" s="850">
        <v>2064</v>
      </c>
      <c r="Z35" s="850">
        <v>1668</v>
      </c>
      <c r="AA35" s="850"/>
      <c r="AB35" s="850"/>
      <c r="AC35" s="460">
        <f>SUM(Y35:Z35)</f>
        <v>3732</v>
      </c>
      <c r="AD35" s="856"/>
      <c r="AE35" s="856"/>
      <c r="AF35" s="856"/>
      <c r="AG35" s="856"/>
      <c r="AH35" s="856"/>
      <c r="AI35" s="856"/>
      <c r="AJ35" s="856"/>
      <c r="AK35" s="856"/>
      <c r="AL35" s="856"/>
      <c r="AM35" s="856"/>
      <c r="AN35" s="265">
        <f>SUM(AA35:AM35)</f>
        <v>3732</v>
      </c>
      <c r="AO35" s="448">
        <v>46027</v>
      </c>
      <c r="AP35" s="448">
        <v>46371</v>
      </c>
      <c r="AQ35" s="847" t="s">
        <v>898</v>
      </c>
      <c r="AR35" s="17"/>
    </row>
    <row r="36" spans="1:44" ht="83.1" customHeight="1">
      <c r="A36" s="627">
        <v>3</v>
      </c>
      <c r="B36" s="843" t="s">
        <v>892</v>
      </c>
      <c r="C36" s="23">
        <v>35</v>
      </c>
      <c r="D36" s="133" t="s">
        <v>748</v>
      </c>
      <c r="E36" s="23">
        <v>3502</v>
      </c>
      <c r="F36" s="133" t="s">
        <v>749</v>
      </c>
      <c r="G36" s="23">
        <v>3502046</v>
      </c>
      <c r="H36" s="755" t="s">
        <v>948</v>
      </c>
      <c r="I36" s="23">
        <v>350204602</v>
      </c>
      <c r="J36" s="844" t="s">
        <v>962</v>
      </c>
      <c r="K36" s="265">
        <v>12</v>
      </c>
      <c r="L36" s="265"/>
      <c r="M36" s="265">
        <f t="shared" si="5"/>
        <v>12</v>
      </c>
      <c r="N36" s="23">
        <v>2024003630061</v>
      </c>
      <c r="O36" s="755" t="s">
        <v>950</v>
      </c>
      <c r="P36" s="755" t="s">
        <v>963</v>
      </c>
      <c r="Q36" s="857">
        <v>100000000</v>
      </c>
      <c r="R36" s="855">
        <f>14800000</f>
        <v>14800000</v>
      </c>
      <c r="S36" s="855">
        <f>3900000</f>
        <v>3900000</v>
      </c>
      <c r="T36" s="855"/>
      <c r="U36" s="846"/>
      <c r="V36" s="612" t="s">
        <v>959</v>
      </c>
      <c r="W36" s="265">
        <v>52</v>
      </c>
      <c r="X36" s="28" t="s">
        <v>953</v>
      </c>
      <c r="Y36" s="854">
        <v>2064</v>
      </c>
      <c r="Z36" s="854">
        <v>1668</v>
      </c>
      <c r="AA36" s="854"/>
      <c r="AB36" s="854"/>
      <c r="AC36" s="265">
        <f>SUM(Y36:Z36)</f>
        <v>3732</v>
      </c>
      <c r="AD36" s="849"/>
      <c r="AE36" s="849"/>
      <c r="AF36" s="849"/>
      <c r="AG36" s="849"/>
      <c r="AH36" s="849"/>
      <c r="AI36" s="849"/>
      <c r="AJ36" s="849"/>
      <c r="AK36" s="849"/>
      <c r="AL36" s="849"/>
      <c r="AM36" s="849"/>
      <c r="AN36" s="265">
        <f>SUM(AA36:AM36)</f>
        <v>3732</v>
      </c>
      <c r="AO36" s="448">
        <v>46027</v>
      </c>
      <c r="AP36" s="448">
        <v>46371</v>
      </c>
      <c r="AQ36" s="847" t="s">
        <v>898</v>
      </c>
      <c r="AR36" s="17"/>
    </row>
    <row r="37" spans="1:44" s="849" customFormat="1" ht="60" customHeight="1">
      <c r="A37" s="627">
        <v>2</v>
      </c>
      <c r="B37" s="843" t="s">
        <v>326</v>
      </c>
      <c r="C37" s="23">
        <v>36</v>
      </c>
      <c r="D37" s="133" t="s">
        <v>964</v>
      </c>
      <c r="E37" s="23">
        <v>3602</v>
      </c>
      <c r="F37" s="133" t="s">
        <v>965</v>
      </c>
      <c r="G37" s="23">
        <v>3602018</v>
      </c>
      <c r="H37" s="755" t="s">
        <v>966</v>
      </c>
      <c r="I37" s="23">
        <v>360201800</v>
      </c>
      <c r="J37" s="844" t="s">
        <v>967</v>
      </c>
      <c r="K37" s="265">
        <v>10</v>
      </c>
      <c r="L37" s="265"/>
      <c r="M37" s="265">
        <f>K37</f>
        <v>10</v>
      </c>
      <c r="N37" s="23">
        <v>2024003630058</v>
      </c>
      <c r="O37" s="755" t="s">
        <v>968</v>
      </c>
      <c r="P37" s="843" t="s">
        <v>969</v>
      </c>
      <c r="Q37" s="857">
        <v>220000000</v>
      </c>
      <c r="R37" s="858"/>
      <c r="S37" s="858"/>
      <c r="T37" s="858"/>
      <c r="U37" s="846">
        <f t="shared" si="1"/>
        <v>220000000</v>
      </c>
      <c r="V37" s="612" t="s">
        <v>970</v>
      </c>
      <c r="W37" s="265">
        <v>1</v>
      </c>
      <c r="X37" s="141" t="s">
        <v>971</v>
      </c>
      <c r="Y37" s="265">
        <v>756</v>
      </c>
      <c r="Z37" s="265">
        <v>1134</v>
      </c>
      <c r="AA37" s="854"/>
      <c r="AB37" s="854"/>
      <c r="AC37" s="265">
        <f t="shared" si="4"/>
        <v>1890</v>
      </c>
      <c r="AD37" s="854"/>
      <c r="AE37" s="854"/>
      <c r="AF37" s="854"/>
      <c r="AG37" s="854"/>
      <c r="AH37" s="854"/>
      <c r="AI37" s="854"/>
      <c r="AJ37" s="854"/>
      <c r="AK37" s="854"/>
      <c r="AL37" s="854"/>
      <c r="AM37" s="854"/>
      <c r="AN37" s="265">
        <f t="shared" si="2"/>
        <v>1890</v>
      </c>
      <c r="AO37" s="448">
        <v>46203</v>
      </c>
      <c r="AP37" s="448">
        <v>46376</v>
      </c>
      <c r="AQ37" s="847" t="s">
        <v>898</v>
      </c>
      <c r="AR37" s="859"/>
    </row>
    <row r="38" spans="1:44" ht="60" customHeight="1">
      <c r="A38" s="860">
        <v>2</v>
      </c>
      <c r="B38" s="861" t="s">
        <v>326</v>
      </c>
      <c r="C38" s="862">
        <v>36</v>
      </c>
      <c r="D38" s="863" t="s">
        <v>964</v>
      </c>
      <c r="E38" s="862">
        <v>3602</v>
      </c>
      <c r="F38" s="863" t="s">
        <v>965</v>
      </c>
      <c r="G38" s="862">
        <v>3602032</v>
      </c>
      <c r="H38" s="864" t="s">
        <v>972</v>
      </c>
      <c r="I38" s="862">
        <v>360203200</v>
      </c>
      <c r="J38" s="865" t="s">
        <v>973</v>
      </c>
      <c r="K38" s="866">
        <v>25</v>
      </c>
      <c r="L38" s="866"/>
      <c r="M38" s="265">
        <f>K38</f>
        <v>25</v>
      </c>
      <c r="N38" s="862">
        <v>2024003630058</v>
      </c>
      <c r="O38" s="864" t="s">
        <v>968</v>
      </c>
      <c r="P38" s="861" t="s">
        <v>974</v>
      </c>
      <c r="Q38" s="857">
        <v>210000000</v>
      </c>
      <c r="R38" s="867">
        <f>123517517.25+60000000</f>
        <v>183517517.25</v>
      </c>
      <c r="S38" s="867"/>
      <c r="T38" s="867"/>
      <c r="U38" s="868">
        <f t="shared" si="1"/>
        <v>26482482.75</v>
      </c>
      <c r="V38" s="869" t="s">
        <v>975</v>
      </c>
      <c r="W38" s="866">
        <v>20</v>
      </c>
      <c r="X38" s="870" t="s">
        <v>67</v>
      </c>
      <c r="Y38" s="265">
        <v>756</v>
      </c>
      <c r="Z38" s="265">
        <v>1134</v>
      </c>
      <c r="AA38" s="854"/>
      <c r="AB38" s="854"/>
      <c r="AC38" s="265">
        <f t="shared" si="4"/>
        <v>1890</v>
      </c>
      <c r="AD38" s="854"/>
      <c r="AE38" s="854"/>
      <c r="AF38" s="854"/>
      <c r="AG38" s="854"/>
      <c r="AH38" s="854"/>
      <c r="AI38" s="854"/>
      <c r="AJ38" s="854"/>
      <c r="AK38" s="854"/>
      <c r="AL38" s="854"/>
      <c r="AM38" s="854"/>
      <c r="AN38" s="265">
        <f t="shared" si="2"/>
        <v>1890</v>
      </c>
      <c r="AO38" s="871">
        <v>46027</v>
      </c>
      <c r="AP38" s="871">
        <v>46361</v>
      </c>
      <c r="AQ38" s="847" t="s">
        <v>898</v>
      </c>
      <c r="AR38" s="17"/>
    </row>
    <row r="39" spans="1:44" ht="60" customHeight="1">
      <c r="A39" s="627">
        <v>2</v>
      </c>
      <c r="B39" s="843" t="s">
        <v>326</v>
      </c>
      <c r="C39" s="23">
        <v>36</v>
      </c>
      <c r="D39" s="133" t="s">
        <v>964</v>
      </c>
      <c r="E39" s="23">
        <v>3602</v>
      </c>
      <c r="F39" s="133" t="s">
        <v>965</v>
      </c>
      <c r="G39" s="23">
        <v>3602032</v>
      </c>
      <c r="H39" s="755" t="s">
        <v>972</v>
      </c>
      <c r="I39" s="23">
        <v>360203200</v>
      </c>
      <c r="J39" s="844" t="s">
        <v>973</v>
      </c>
      <c r="K39" s="265">
        <v>25</v>
      </c>
      <c r="L39" s="265"/>
      <c r="M39" s="265">
        <f>K39</f>
        <v>25</v>
      </c>
      <c r="N39" s="23">
        <v>2024003630058</v>
      </c>
      <c r="O39" s="755" t="s">
        <v>968</v>
      </c>
      <c r="P39" s="145" t="s">
        <v>976</v>
      </c>
      <c r="Q39" s="845">
        <v>180000000</v>
      </c>
      <c r="R39" s="845">
        <f>14800000+16000000+14800000+14800000</f>
        <v>60400000</v>
      </c>
      <c r="S39" s="845"/>
      <c r="T39" s="845"/>
      <c r="U39" s="846">
        <f t="shared" si="1"/>
        <v>119600000</v>
      </c>
      <c r="V39" s="612" t="s">
        <v>975</v>
      </c>
      <c r="W39" s="265">
        <v>20</v>
      </c>
      <c r="X39" s="141" t="s">
        <v>67</v>
      </c>
      <c r="Y39" s="265">
        <v>756</v>
      </c>
      <c r="Z39" s="265">
        <v>1134</v>
      </c>
      <c r="AA39" s="854"/>
      <c r="AB39" s="854"/>
      <c r="AC39" s="265">
        <f t="shared" si="4"/>
        <v>1890</v>
      </c>
      <c r="AD39" s="854"/>
      <c r="AE39" s="854"/>
      <c r="AF39" s="854"/>
      <c r="AG39" s="854"/>
      <c r="AH39" s="854"/>
      <c r="AI39" s="854"/>
      <c r="AJ39" s="854"/>
      <c r="AK39" s="854"/>
      <c r="AL39" s="854"/>
      <c r="AM39" s="854"/>
      <c r="AN39" s="265">
        <f>SUM(AA39:AM39)</f>
        <v>1890</v>
      </c>
      <c r="AO39" s="871">
        <v>46027</v>
      </c>
      <c r="AP39" s="871">
        <v>46361</v>
      </c>
      <c r="AQ39" s="847" t="s">
        <v>898</v>
      </c>
    </row>
    <row r="40" spans="1:44" ht="60" customHeight="1">
      <c r="A40" s="627">
        <v>2</v>
      </c>
      <c r="B40" s="843" t="s">
        <v>326</v>
      </c>
      <c r="C40" s="23">
        <v>36</v>
      </c>
      <c r="D40" s="133" t="s">
        <v>964</v>
      </c>
      <c r="E40" s="23">
        <v>3602</v>
      </c>
      <c r="F40" s="133" t="s">
        <v>965</v>
      </c>
      <c r="G40" s="23">
        <v>3602005</v>
      </c>
      <c r="H40" s="755" t="s">
        <v>977</v>
      </c>
      <c r="I40" s="23">
        <v>360200500</v>
      </c>
      <c r="J40" s="844" t="s">
        <v>978</v>
      </c>
      <c r="K40" s="265">
        <v>375</v>
      </c>
      <c r="L40" s="265"/>
      <c r="M40" s="265">
        <f>K40</f>
        <v>375</v>
      </c>
      <c r="N40" s="23">
        <v>2024003630058</v>
      </c>
      <c r="O40" s="755" t="s">
        <v>968</v>
      </c>
      <c r="P40" s="145" t="s">
        <v>979</v>
      </c>
      <c r="Q40" s="845">
        <v>104000000</v>
      </c>
      <c r="R40" s="845">
        <f>14800000+14800000</f>
        <v>29600000</v>
      </c>
      <c r="S40" s="845"/>
      <c r="T40" s="845"/>
      <c r="U40" s="846">
        <f t="shared" si="1"/>
        <v>74400000</v>
      </c>
      <c r="V40" s="612" t="s">
        <v>980</v>
      </c>
      <c r="W40" s="265">
        <v>20</v>
      </c>
      <c r="X40" s="141" t="s">
        <v>67</v>
      </c>
      <c r="Y40" s="265">
        <v>756</v>
      </c>
      <c r="Z40" s="265">
        <v>1134</v>
      </c>
      <c r="AA40" s="854"/>
      <c r="AB40" s="854"/>
      <c r="AC40" s="265">
        <f t="shared" si="4"/>
        <v>1890</v>
      </c>
      <c r="AD40" s="854"/>
      <c r="AE40" s="854"/>
      <c r="AF40" s="854"/>
      <c r="AG40" s="854"/>
      <c r="AH40" s="854"/>
      <c r="AI40" s="854"/>
      <c r="AJ40" s="854"/>
      <c r="AK40" s="854"/>
      <c r="AL40" s="854"/>
      <c r="AM40" s="854"/>
      <c r="AN40" s="265">
        <f t="shared" si="2"/>
        <v>1890</v>
      </c>
      <c r="AO40" s="871">
        <v>46027</v>
      </c>
      <c r="AP40" s="871">
        <v>46361</v>
      </c>
      <c r="AQ40" s="847" t="s">
        <v>898</v>
      </c>
    </row>
    <row r="41" spans="1:44" ht="31.5" customHeight="1" thickBot="1">
      <c r="A41" s="20"/>
      <c r="B41" s="21"/>
      <c r="C41" s="21"/>
      <c r="D41" s="21"/>
      <c r="E41" s="21"/>
      <c r="F41" s="21"/>
      <c r="G41" s="21"/>
      <c r="H41" s="21"/>
      <c r="I41" s="21"/>
      <c r="J41" s="21"/>
      <c r="K41" s="21"/>
      <c r="L41" s="21"/>
      <c r="M41" s="21"/>
      <c r="N41" s="21"/>
      <c r="O41" s="21"/>
      <c r="P41" s="26"/>
      <c r="Q41" s="47">
        <f>SUM(Q10:Q40)</f>
        <v>2721482482.75</v>
      </c>
      <c r="R41" s="48"/>
      <c r="S41" s="48"/>
      <c r="T41" s="48"/>
      <c r="U41" s="48"/>
      <c r="V41" s="21"/>
      <c r="W41" s="21"/>
      <c r="X41" s="21"/>
      <c r="Y41" s="49"/>
      <c r="Z41" s="49"/>
      <c r="AA41" s="49"/>
      <c r="AB41" s="49"/>
      <c r="AC41" s="49"/>
      <c r="AD41" s="49"/>
      <c r="AE41" s="49"/>
      <c r="AF41" s="49"/>
      <c r="AG41" s="49"/>
      <c r="AH41" s="49"/>
      <c r="AI41" s="49"/>
      <c r="AJ41" s="49"/>
      <c r="AK41" s="49"/>
      <c r="AL41" s="49"/>
      <c r="AM41" s="49"/>
      <c r="AN41" s="49"/>
      <c r="AO41" s="21"/>
      <c r="AP41" s="21"/>
      <c r="AQ41" s="22"/>
    </row>
    <row r="44" spans="1:44">
      <c r="N44" s="50"/>
    </row>
    <row r="45" spans="1:44">
      <c r="N45" s="50"/>
    </row>
    <row r="46" spans="1:44">
      <c r="N46" s="50"/>
    </row>
    <row r="47" spans="1:44">
      <c r="N47" s="50"/>
    </row>
    <row r="48" spans="1:44">
      <c r="N48" s="50"/>
    </row>
    <row r="49" spans="1:44">
      <c r="A49" s="17"/>
      <c r="B49" s="17"/>
      <c r="C49" s="17"/>
      <c r="D49" s="17"/>
      <c r="E49" s="17"/>
      <c r="F49" s="17"/>
      <c r="G49" s="17"/>
      <c r="H49" s="17"/>
      <c r="I49" s="17"/>
      <c r="J49" s="17"/>
      <c r="K49" s="17"/>
      <c r="L49" s="17"/>
      <c r="M49" s="17"/>
      <c r="N49" s="50"/>
      <c r="O49" s="17"/>
      <c r="P49" s="17"/>
      <c r="Q49" s="17"/>
      <c r="R49" s="17"/>
      <c r="S49" s="17"/>
      <c r="T49" s="17"/>
      <c r="U49" s="17"/>
      <c r="V49" s="17"/>
      <c r="W49" s="18"/>
      <c r="X49" s="18"/>
      <c r="Y49" s="17"/>
      <c r="Z49" s="17"/>
      <c r="AA49" s="17"/>
      <c r="AB49" s="17"/>
      <c r="AC49" s="17"/>
      <c r="AD49" s="17"/>
      <c r="AE49" s="17"/>
      <c r="AF49" s="17"/>
      <c r="AG49" s="17"/>
      <c r="AH49" s="17"/>
      <c r="AI49" s="17"/>
      <c r="AJ49" s="17"/>
      <c r="AK49" s="17"/>
      <c r="AL49" s="17"/>
      <c r="AM49" s="17"/>
      <c r="AN49" s="17"/>
      <c r="AO49" s="17"/>
      <c r="AP49" s="17"/>
      <c r="AQ49" s="17"/>
      <c r="AR49" s="17"/>
    </row>
    <row r="50" spans="1:44" ht="15.75">
      <c r="A50" s="17"/>
      <c r="B50" s="17"/>
      <c r="C50" s="17"/>
      <c r="D50" s="17"/>
      <c r="E50" s="17"/>
      <c r="F50" s="17"/>
      <c r="G50" s="17"/>
      <c r="H50" s="17"/>
      <c r="I50" s="17"/>
      <c r="J50" s="17"/>
      <c r="K50" s="17"/>
      <c r="L50" s="17"/>
      <c r="M50" s="17"/>
      <c r="N50" s="50"/>
      <c r="O50" s="1057" t="s">
        <v>981</v>
      </c>
      <c r="P50" s="1057"/>
      <c r="Q50" s="1057"/>
      <c r="R50" s="1057"/>
      <c r="S50" s="1057"/>
      <c r="T50" s="1057"/>
      <c r="U50" s="1057"/>
      <c r="V50" s="1057"/>
      <c r="W50" s="1057"/>
      <c r="X50" s="18"/>
      <c r="Y50" s="17"/>
      <c r="Z50" s="17"/>
      <c r="AA50" s="17"/>
      <c r="AB50" s="17"/>
      <c r="AC50" s="17"/>
      <c r="AD50" s="17"/>
      <c r="AE50" s="17"/>
      <c r="AF50" s="17"/>
      <c r="AG50" s="17"/>
      <c r="AH50" s="17"/>
      <c r="AI50" s="17"/>
      <c r="AJ50" s="17"/>
      <c r="AK50" s="17"/>
      <c r="AL50" s="17"/>
      <c r="AM50" s="17"/>
      <c r="AN50" s="17"/>
      <c r="AO50" s="17"/>
      <c r="AP50" s="17"/>
      <c r="AQ50" s="17"/>
      <c r="AR50" s="17"/>
    </row>
    <row r="51" spans="1:44" ht="15.75">
      <c r="A51" s="17"/>
      <c r="B51" s="17"/>
      <c r="C51" s="17"/>
      <c r="D51" s="17"/>
      <c r="E51" s="17"/>
      <c r="F51" s="17"/>
      <c r="G51" s="17"/>
      <c r="H51" s="17"/>
      <c r="I51" s="17"/>
      <c r="J51" s="17"/>
      <c r="K51" s="17"/>
      <c r="L51" s="17"/>
      <c r="M51" s="17"/>
      <c r="N51" s="50"/>
      <c r="O51" s="1057" t="s">
        <v>982</v>
      </c>
      <c r="P51" s="1057"/>
      <c r="Q51" s="1057"/>
      <c r="R51" s="1057"/>
      <c r="S51" s="1057"/>
      <c r="T51" s="1057"/>
      <c r="U51" s="1057"/>
      <c r="V51" s="1057"/>
      <c r="W51" s="1057"/>
      <c r="X51" s="18"/>
      <c r="Y51" s="17"/>
      <c r="Z51" s="17"/>
      <c r="AA51" s="17"/>
      <c r="AB51" s="17"/>
      <c r="AC51" s="17"/>
      <c r="AD51" s="17"/>
      <c r="AE51" s="17"/>
      <c r="AF51" s="17"/>
      <c r="AG51" s="17"/>
      <c r="AH51" s="17"/>
      <c r="AI51" s="17"/>
      <c r="AJ51" s="17"/>
      <c r="AK51" s="17"/>
      <c r="AL51" s="17"/>
      <c r="AM51" s="17"/>
      <c r="AN51" s="17"/>
      <c r="AO51" s="17"/>
      <c r="AP51" s="17"/>
      <c r="AQ51" s="17"/>
      <c r="AR51" s="17"/>
    </row>
    <row r="52" spans="1:44">
      <c r="A52" s="17"/>
      <c r="B52" s="17"/>
      <c r="C52" s="17"/>
      <c r="D52" s="17"/>
      <c r="E52" s="17"/>
      <c r="F52" s="17"/>
      <c r="G52" s="17"/>
      <c r="H52" s="17"/>
      <c r="I52" s="17"/>
      <c r="J52" s="17"/>
      <c r="K52" s="17"/>
      <c r="L52" s="17"/>
      <c r="M52" s="17"/>
      <c r="N52" s="50"/>
      <c r="O52" s="17"/>
      <c r="P52" s="17"/>
      <c r="Q52" s="17"/>
      <c r="R52" s="17"/>
      <c r="S52" s="17"/>
      <c r="T52" s="17"/>
      <c r="U52" s="17"/>
      <c r="V52" s="17"/>
      <c r="W52" s="18"/>
      <c r="X52" s="18"/>
      <c r="Y52" s="17"/>
      <c r="Z52" s="17"/>
      <c r="AA52" s="17"/>
      <c r="AB52" s="17"/>
      <c r="AC52" s="17"/>
      <c r="AD52" s="17"/>
      <c r="AE52" s="17"/>
      <c r="AF52" s="17"/>
      <c r="AG52" s="17"/>
      <c r="AH52" s="17"/>
      <c r="AI52" s="17"/>
      <c r="AJ52" s="17"/>
      <c r="AK52" s="17"/>
      <c r="AL52" s="17"/>
      <c r="AM52" s="17"/>
      <c r="AN52" s="17"/>
      <c r="AO52" s="17"/>
      <c r="AP52" s="17"/>
      <c r="AQ52" s="17"/>
      <c r="AR52" s="17"/>
    </row>
    <row r="53" spans="1:44">
      <c r="A53" s="17"/>
      <c r="B53" s="17"/>
      <c r="C53" s="17"/>
      <c r="D53" s="17"/>
      <c r="E53" s="17"/>
      <c r="F53" s="17"/>
      <c r="G53" s="17"/>
      <c r="H53" s="17"/>
      <c r="I53" s="17"/>
      <c r="J53" s="17"/>
      <c r="K53" s="17"/>
      <c r="L53" s="17"/>
      <c r="M53" s="17"/>
      <c r="N53" s="50"/>
      <c r="O53" s="17"/>
      <c r="P53" s="17"/>
      <c r="Q53" s="17"/>
      <c r="R53" s="17"/>
      <c r="S53" s="17"/>
      <c r="T53" s="17"/>
      <c r="U53" s="17"/>
      <c r="V53" s="17"/>
      <c r="W53" s="18"/>
      <c r="X53" s="18"/>
      <c r="Y53" s="17"/>
      <c r="Z53" s="17"/>
      <c r="AA53" s="17"/>
      <c r="AB53" s="17"/>
      <c r="AC53" s="17"/>
      <c r="AD53" s="17"/>
      <c r="AE53" s="17"/>
      <c r="AF53" s="17"/>
      <c r="AG53" s="17"/>
      <c r="AH53" s="17"/>
      <c r="AI53" s="17"/>
      <c r="AJ53" s="17"/>
      <c r="AK53" s="17"/>
      <c r="AL53" s="17"/>
      <c r="AM53" s="17"/>
      <c r="AN53" s="17"/>
      <c r="AO53" s="17"/>
      <c r="AP53" s="17"/>
      <c r="AQ53" s="17"/>
      <c r="AR53" s="17"/>
    </row>
    <row r="54" spans="1:44">
      <c r="A54" s="17"/>
      <c r="B54" s="17"/>
      <c r="C54" s="17"/>
      <c r="D54" s="17"/>
      <c r="E54" s="17"/>
      <c r="F54" s="17"/>
      <c r="G54" s="17"/>
      <c r="H54" s="17"/>
      <c r="I54" s="17"/>
      <c r="J54" s="17"/>
      <c r="K54" s="17"/>
      <c r="L54" s="17"/>
      <c r="M54" s="17"/>
      <c r="N54" s="17"/>
      <c r="O54" s="17"/>
      <c r="P54" s="17"/>
      <c r="Q54" s="17"/>
      <c r="R54" s="17"/>
      <c r="S54" s="17"/>
      <c r="T54" s="17"/>
      <c r="U54" s="17"/>
      <c r="V54" s="17"/>
      <c r="W54" s="18"/>
      <c r="X54" s="18"/>
      <c r="Y54" s="17"/>
      <c r="Z54" s="17"/>
      <c r="AA54" s="17"/>
      <c r="AB54" s="17"/>
      <c r="AC54" s="17"/>
      <c r="AD54" s="17"/>
      <c r="AE54" s="17"/>
      <c r="AF54" s="17"/>
      <c r="AG54" s="17"/>
      <c r="AH54" s="17"/>
      <c r="AI54" s="17"/>
      <c r="AJ54" s="17"/>
      <c r="AK54" s="17"/>
      <c r="AL54" s="17"/>
      <c r="AM54" s="17"/>
      <c r="AN54" s="17"/>
      <c r="AO54" s="17"/>
      <c r="AP54" s="17"/>
      <c r="AQ54" s="17"/>
      <c r="AR54" s="17"/>
    </row>
    <row r="55" spans="1:44">
      <c r="A55" s="17"/>
      <c r="B55" s="17"/>
      <c r="C55" s="17"/>
      <c r="D55" s="17"/>
      <c r="E55" s="17"/>
      <c r="F55" s="17"/>
      <c r="G55" s="17"/>
      <c r="H55" s="17"/>
      <c r="I55" s="17"/>
      <c r="J55" s="17"/>
      <c r="K55" s="17"/>
      <c r="L55" s="17"/>
      <c r="M55" s="17"/>
      <c r="N55" s="17"/>
      <c r="O55" s="17"/>
      <c r="P55" s="17"/>
      <c r="Q55" s="17"/>
      <c r="R55" s="17"/>
      <c r="S55" s="17"/>
      <c r="T55" s="17"/>
      <c r="U55" s="17"/>
      <c r="V55" s="17"/>
      <c r="W55" s="18"/>
      <c r="X55" s="18"/>
      <c r="Y55" s="17"/>
      <c r="Z55" s="17"/>
      <c r="AA55" s="17"/>
      <c r="AB55" s="17"/>
      <c r="AC55" s="17"/>
      <c r="AD55" s="17"/>
      <c r="AE55" s="17"/>
      <c r="AF55" s="17"/>
      <c r="AG55" s="17"/>
      <c r="AH55" s="17"/>
      <c r="AI55" s="17"/>
      <c r="AJ55" s="17"/>
      <c r="AK55" s="17"/>
      <c r="AL55" s="17"/>
      <c r="AM55" s="17"/>
      <c r="AN55" s="17"/>
      <c r="AO55" s="17"/>
      <c r="AP55" s="17"/>
      <c r="AQ55" s="17"/>
      <c r="AR55" s="17"/>
    </row>
    <row r="56" spans="1:44" ht="30" customHeight="1">
      <c r="A56" s="17"/>
      <c r="B56" s="17"/>
      <c r="C56" s="17"/>
      <c r="D56" s="17"/>
      <c r="E56" s="17"/>
      <c r="F56" s="17"/>
      <c r="G56" s="979" t="s">
        <v>108</v>
      </c>
      <c r="H56" s="979"/>
      <c r="I56" s="982" t="s">
        <v>109</v>
      </c>
      <c r="J56" s="983"/>
      <c r="K56" s="984" t="s">
        <v>110</v>
      </c>
      <c r="L56" s="985"/>
      <c r="M56" s="985"/>
      <c r="N56" s="986"/>
      <c r="O56" s="17"/>
      <c r="P56" s="17"/>
      <c r="Q56" s="17"/>
      <c r="R56" s="17"/>
      <c r="S56" s="17"/>
      <c r="T56" s="17"/>
      <c r="U56" s="17"/>
      <c r="V56" s="17"/>
      <c r="W56" s="18"/>
      <c r="X56" s="18"/>
      <c r="Y56" s="17"/>
      <c r="Z56" s="17"/>
      <c r="AA56" s="17"/>
      <c r="AB56" s="17"/>
      <c r="AC56" s="17"/>
      <c r="AD56" s="17"/>
      <c r="AE56" s="17"/>
      <c r="AF56" s="17"/>
      <c r="AG56" s="17"/>
      <c r="AH56" s="17"/>
      <c r="AI56" s="17"/>
      <c r="AJ56" s="17"/>
      <c r="AK56" s="17"/>
      <c r="AL56" s="17"/>
      <c r="AM56" s="17"/>
      <c r="AN56" s="17"/>
      <c r="AO56" s="17"/>
      <c r="AP56" s="17"/>
      <c r="AQ56" s="17"/>
      <c r="AR56" s="17"/>
    </row>
    <row r="57" spans="1:44" ht="39" customHeight="1">
      <c r="A57" s="17"/>
      <c r="B57" s="17"/>
      <c r="C57" s="17"/>
      <c r="D57" s="17"/>
      <c r="E57" s="17"/>
      <c r="F57" s="17"/>
      <c r="G57" s="979" t="s">
        <v>648</v>
      </c>
      <c r="H57" s="979"/>
      <c r="I57" s="1017" t="s">
        <v>112</v>
      </c>
      <c r="J57" s="1018"/>
      <c r="K57" s="979" t="s">
        <v>113</v>
      </c>
      <c r="L57" s="979"/>
      <c r="M57" s="979"/>
      <c r="N57" s="979"/>
      <c r="O57" s="17"/>
      <c r="P57" s="17"/>
      <c r="Q57" s="17"/>
      <c r="R57" s="17"/>
      <c r="S57" s="17"/>
      <c r="T57" s="17"/>
      <c r="U57" s="17"/>
      <c r="V57" s="24"/>
      <c r="W57" s="18"/>
      <c r="X57" s="18"/>
      <c r="Y57" s="17"/>
      <c r="Z57" s="17"/>
      <c r="AA57" s="17"/>
      <c r="AB57" s="17"/>
      <c r="AC57" s="17"/>
      <c r="AD57" s="17"/>
      <c r="AE57" s="17"/>
      <c r="AF57" s="17"/>
      <c r="AG57" s="17"/>
      <c r="AH57" s="17"/>
      <c r="AI57" s="17"/>
      <c r="AJ57" s="17"/>
      <c r="AK57" s="17"/>
      <c r="AL57" s="17"/>
      <c r="AM57" s="17"/>
      <c r="AN57" s="17"/>
      <c r="AO57" s="17"/>
      <c r="AP57" s="17"/>
      <c r="AQ57" s="17"/>
      <c r="AR57" s="17"/>
    </row>
    <row r="58" spans="1:44" ht="30" customHeight="1">
      <c r="G58" s="979" t="s">
        <v>114</v>
      </c>
      <c r="H58" s="979"/>
      <c r="I58" s="979" t="s">
        <v>115</v>
      </c>
      <c r="J58" s="979"/>
      <c r="K58" s="979" t="s">
        <v>116</v>
      </c>
      <c r="L58" s="979"/>
      <c r="M58" s="979"/>
      <c r="N58" s="979"/>
    </row>
    <row r="59" spans="1:44">
      <c r="G59" s="19" t="s">
        <v>649</v>
      </c>
      <c r="H59" s="17"/>
      <c r="I59" s="17"/>
      <c r="J59" s="17"/>
    </row>
  </sheetData>
  <autoFilter ref="A9:AR41" xr:uid="{00000000-0001-0000-0700-000000000000}"/>
  <mergeCells count="32">
    <mergeCell ref="G57:H57"/>
    <mergeCell ref="I57:J57"/>
    <mergeCell ref="K57:N57"/>
    <mergeCell ref="G58:H58"/>
    <mergeCell ref="I58:J58"/>
    <mergeCell ref="K58:N58"/>
    <mergeCell ref="O50:W50"/>
    <mergeCell ref="O51:W51"/>
    <mergeCell ref="G56:H56"/>
    <mergeCell ref="I56:J56"/>
    <mergeCell ref="K56:N56"/>
    <mergeCell ref="AP7:AP9"/>
    <mergeCell ref="AQ7:AQ9"/>
    <mergeCell ref="V8:X8"/>
    <mergeCell ref="Y8:Z8"/>
    <mergeCell ref="AA8:AD8"/>
    <mergeCell ref="AE8:AJ8"/>
    <mergeCell ref="AK8:AM8"/>
    <mergeCell ref="AN8:AN9"/>
    <mergeCell ref="Y7:AN7"/>
    <mergeCell ref="A1:B6"/>
    <mergeCell ref="C1:AO1"/>
    <mergeCell ref="C2:AO4"/>
    <mergeCell ref="C5:AO6"/>
    <mergeCell ref="A7:B8"/>
    <mergeCell ref="C7:D8"/>
    <mergeCell ref="E7:F8"/>
    <mergeCell ref="G7:H8"/>
    <mergeCell ref="I7:J8"/>
    <mergeCell ref="K7:M8"/>
    <mergeCell ref="AO7:AO9"/>
    <mergeCell ref="N7:Q8"/>
  </mergeCell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I38"/>
  <sheetViews>
    <sheetView topLeftCell="G1" zoomScale="70" zoomScaleNormal="70" zoomScaleSheetLayoutView="70" workbookViewId="0">
      <pane ySplit="9" topLeftCell="Q12" activePane="bottomLeft" state="frozen"/>
      <selection pane="bottomLeft" activeCell="R12" sqref="R12"/>
    </sheetView>
  </sheetViews>
  <sheetFormatPr defaultColWidth="11.42578125" defaultRowHeight="15" customHeight="1"/>
  <cols>
    <col min="1" max="1" width="12.28515625" customWidth="1"/>
    <col min="2" max="2" width="18.42578125" customWidth="1"/>
    <col min="3" max="3" width="9.42578125" customWidth="1"/>
    <col min="4" max="4" width="11.42578125" customWidth="1"/>
    <col min="5" max="5" width="9.7109375" customWidth="1"/>
    <col min="6" max="6" width="19" customWidth="1"/>
    <col min="7" max="7" width="13.7109375" customWidth="1"/>
    <col min="8" max="8" width="19.140625" customWidth="1"/>
    <col min="9" max="9" width="13.7109375" customWidth="1"/>
    <col min="10" max="10" width="19" customWidth="1"/>
    <col min="11" max="13" width="15.7109375" customWidth="1"/>
    <col min="14" max="14" width="16.85546875" bestFit="1" customWidth="1"/>
    <col min="15" max="15" width="40" customWidth="1"/>
    <col min="16" max="16" width="30.42578125" customWidth="1"/>
    <col min="17" max="17" width="22.42578125" bestFit="1" customWidth="1"/>
    <col min="18" max="18" width="24.85546875" customWidth="1"/>
    <col min="19" max="19" width="23.42578125" customWidth="1"/>
    <col min="20" max="20" width="22" customWidth="1"/>
    <col min="21" max="21" width="22.140625" customWidth="1"/>
    <col min="22" max="22" width="23.42578125" customWidth="1"/>
    <col min="23" max="23" width="12" customWidth="1"/>
    <col min="24" max="24" width="17.42578125" customWidth="1"/>
    <col min="25" max="25" width="10.7109375" customWidth="1"/>
    <col min="26" max="26" width="11" customWidth="1"/>
    <col min="27" max="27" width="9.28515625" customWidth="1"/>
    <col min="28" max="28" width="7.42578125" customWidth="1"/>
    <col min="29" max="29" width="9.42578125" customWidth="1"/>
    <col min="30" max="30" width="8.42578125" customWidth="1"/>
    <col min="31" max="31" width="9.42578125" customWidth="1"/>
    <col min="32" max="32" width="8.85546875" customWidth="1"/>
    <col min="33" max="33" width="6.7109375" customWidth="1"/>
    <col min="34" max="34" width="6.42578125" customWidth="1"/>
    <col min="35" max="35" width="6.28515625" customWidth="1"/>
    <col min="36" max="36" width="6.42578125" customWidth="1"/>
    <col min="37" max="37" width="11.7109375" customWidth="1"/>
    <col min="38" max="38" width="10.85546875" customWidth="1"/>
    <col min="39" max="39" width="7.28515625" customWidth="1"/>
    <col min="40" max="40" width="11" customWidth="1"/>
    <col min="41" max="41" width="14.28515625" customWidth="1"/>
    <col min="42" max="42" width="14.42578125" customWidth="1"/>
    <col min="43" max="43" width="19.42578125" customWidth="1"/>
  </cols>
  <sheetData>
    <row r="1" spans="1:61">
      <c r="A1" s="1001"/>
      <c r="B1" s="1001"/>
      <c r="C1" s="1002" t="s">
        <v>0</v>
      </c>
      <c r="D1" s="1002"/>
      <c r="E1" s="1002"/>
      <c r="F1" s="1002"/>
      <c r="G1" s="1002"/>
      <c r="H1" s="1002"/>
      <c r="I1" s="1002"/>
      <c r="J1" s="1002"/>
      <c r="K1" s="1002"/>
      <c r="L1" s="1002"/>
      <c r="M1" s="1002"/>
      <c r="N1" s="1002"/>
      <c r="O1" s="1002"/>
      <c r="P1" s="1002"/>
      <c r="Q1" s="1002"/>
      <c r="R1" s="1002"/>
      <c r="S1" s="1002"/>
      <c r="T1" s="1002"/>
      <c r="U1" s="1002"/>
      <c r="V1" s="1002"/>
      <c r="W1" s="1002"/>
      <c r="X1" s="1002"/>
      <c r="Y1" s="1002"/>
      <c r="Z1" s="1002"/>
      <c r="AA1" s="1002"/>
      <c r="AB1" s="1002"/>
      <c r="AC1" s="1002"/>
      <c r="AD1" s="1002"/>
      <c r="AE1" s="1002"/>
      <c r="AF1" s="1002"/>
      <c r="AG1" s="1002"/>
      <c r="AH1" s="1002"/>
      <c r="AI1" s="1002"/>
      <c r="AJ1" s="1002"/>
      <c r="AK1" s="1002"/>
      <c r="AL1" s="1002"/>
      <c r="AM1" s="1002"/>
      <c r="AN1" s="1002"/>
      <c r="AO1" s="1002"/>
    </row>
    <row r="2" spans="1:61" s="420" customFormat="1" ht="14.45" customHeight="1">
      <c r="A2" s="1001"/>
      <c r="B2" s="1001"/>
      <c r="C2" s="1058" t="s">
        <v>1</v>
      </c>
      <c r="D2" s="1058"/>
      <c r="E2" s="1058"/>
      <c r="F2" s="1058"/>
      <c r="G2" s="1058"/>
      <c r="H2" s="1058"/>
      <c r="I2" s="1058"/>
      <c r="J2" s="1058"/>
      <c r="K2" s="1058"/>
      <c r="L2" s="1058"/>
      <c r="M2" s="1058"/>
      <c r="N2" s="1058"/>
      <c r="O2" s="1058"/>
      <c r="P2" s="1058"/>
      <c r="Q2" s="1058"/>
      <c r="R2" s="1058"/>
      <c r="S2" s="1058"/>
      <c r="T2" s="1058"/>
      <c r="U2" s="1058"/>
      <c r="V2" s="1058"/>
      <c r="W2" s="1058"/>
      <c r="X2" s="1058"/>
      <c r="Y2" s="1058"/>
      <c r="Z2" s="1058"/>
      <c r="AA2" s="1058"/>
      <c r="AB2" s="1058"/>
      <c r="AC2" s="1058"/>
      <c r="AD2" s="1058"/>
      <c r="AE2" s="1058"/>
      <c r="AF2" s="1058"/>
      <c r="AG2" s="1058"/>
      <c r="AH2" s="1058"/>
      <c r="AI2" s="1058"/>
      <c r="AJ2" s="1058"/>
      <c r="AK2" s="1058"/>
      <c r="AL2" s="1058"/>
      <c r="AM2" s="1058"/>
      <c r="AN2" s="1058"/>
      <c r="AO2" s="1058"/>
      <c r="AP2" s="418" t="s">
        <v>2</v>
      </c>
      <c r="AQ2" s="974" t="s">
        <v>3</v>
      </c>
      <c r="AR2" s="419"/>
      <c r="AS2" s="419"/>
      <c r="AT2" s="419"/>
      <c r="AU2" s="419"/>
      <c r="AV2" s="419"/>
      <c r="AW2" s="419"/>
      <c r="AX2" s="419"/>
      <c r="AY2" s="419"/>
      <c r="AZ2" s="419"/>
      <c r="BA2" s="419"/>
      <c r="BB2" s="419"/>
      <c r="BC2" s="419"/>
      <c r="BD2" s="419"/>
      <c r="BE2" s="419"/>
      <c r="BF2" s="419"/>
      <c r="BG2" s="419"/>
      <c r="BH2" s="419"/>
      <c r="BI2" s="419"/>
    </row>
    <row r="3" spans="1:61" s="420" customFormat="1" ht="11.25" customHeight="1">
      <c r="A3" s="1001"/>
      <c r="B3" s="1001"/>
      <c r="C3" s="1058"/>
      <c r="D3" s="1058"/>
      <c r="E3" s="1058"/>
      <c r="F3" s="1058"/>
      <c r="G3" s="1058"/>
      <c r="H3" s="1058"/>
      <c r="I3" s="1058"/>
      <c r="J3" s="1058"/>
      <c r="K3" s="1058"/>
      <c r="L3" s="1058"/>
      <c r="M3" s="1058"/>
      <c r="N3" s="1058"/>
      <c r="O3" s="1058"/>
      <c r="P3" s="1058"/>
      <c r="Q3" s="1058"/>
      <c r="R3" s="1058"/>
      <c r="S3" s="1058"/>
      <c r="T3" s="1058"/>
      <c r="U3" s="1058"/>
      <c r="V3" s="1058"/>
      <c r="W3" s="1058"/>
      <c r="X3" s="1058"/>
      <c r="Y3" s="1058"/>
      <c r="Z3" s="1058"/>
      <c r="AA3" s="1058"/>
      <c r="AB3" s="1058"/>
      <c r="AC3" s="1058"/>
      <c r="AD3" s="1058"/>
      <c r="AE3" s="1058"/>
      <c r="AF3" s="1058"/>
      <c r="AG3" s="1058"/>
      <c r="AH3" s="1058"/>
      <c r="AI3" s="1058"/>
      <c r="AJ3" s="1058"/>
      <c r="AK3" s="1058"/>
      <c r="AL3" s="1058"/>
      <c r="AM3" s="1058"/>
      <c r="AN3" s="1058"/>
      <c r="AO3" s="1058"/>
      <c r="AP3" s="421" t="s">
        <v>4</v>
      </c>
      <c r="AQ3" s="422">
        <v>14</v>
      </c>
      <c r="AR3" s="419"/>
      <c r="AS3" s="419"/>
      <c r="AT3" s="419"/>
      <c r="AU3" s="419"/>
      <c r="AV3" s="419"/>
      <c r="AW3" s="419"/>
      <c r="AX3" s="419"/>
      <c r="AY3" s="419"/>
      <c r="AZ3" s="419"/>
      <c r="BA3" s="419"/>
      <c r="BB3" s="419"/>
      <c r="BC3" s="419"/>
      <c r="BD3" s="419"/>
      <c r="BE3" s="419"/>
      <c r="BF3" s="419"/>
      <c r="BG3" s="419"/>
      <c r="BH3" s="419"/>
      <c r="BI3" s="419"/>
    </row>
    <row r="4" spans="1:61" s="420" customFormat="1" ht="18.75" customHeight="1">
      <c r="A4" s="1001"/>
      <c r="B4" s="1001"/>
      <c r="C4" s="1058"/>
      <c r="D4" s="1058"/>
      <c r="E4" s="1058"/>
      <c r="F4" s="1058"/>
      <c r="G4" s="1058"/>
      <c r="H4" s="1058"/>
      <c r="I4" s="1058"/>
      <c r="J4" s="1058"/>
      <c r="K4" s="1058"/>
      <c r="L4" s="1058"/>
      <c r="M4" s="1058"/>
      <c r="N4" s="1058"/>
      <c r="O4" s="1058"/>
      <c r="P4" s="1058"/>
      <c r="Q4" s="1058"/>
      <c r="R4" s="1058"/>
      <c r="S4" s="1058"/>
      <c r="T4" s="1058"/>
      <c r="U4" s="1058"/>
      <c r="V4" s="1058"/>
      <c r="W4" s="1058"/>
      <c r="X4" s="1058"/>
      <c r="Y4" s="1058"/>
      <c r="Z4" s="1058"/>
      <c r="AA4" s="1058"/>
      <c r="AB4" s="1058"/>
      <c r="AC4" s="1058"/>
      <c r="AD4" s="1058"/>
      <c r="AE4" s="1058"/>
      <c r="AF4" s="1058"/>
      <c r="AG4" s="1058"/>
      <c r="AH4" s="1058"/>
      <c r="AI4" s="1058"/>
      <c r="AJ4" s="1058"/>
      <c r="AK4" s="1058"/>
      <c r="AL4" s="1058"/>
      <c r="AM4" s="1058"/>
      <c r="AN4" s="1058"/>
      <c r="AO4" s="1058"/>
      <c r="AP4" s="421" t="s">
        <v>5</v>
      </c>
      <c r="AQ4" s="423">
        <v>45884</v>
      </c>
      <c r="AR4" s="419"/>
      <c r="AS4" s="419"/>
      <c r="AT4" s="419"/>
      <c r="AU4" s="419"/>
      <c r="AV4" s="419"/>
      <c r="AW4" s="419"/>
      <c r="AX4" s="419"/>
      <c r="AY4" s="419"/>
      <c r="AZ4" s="419"/>
      <c r="BA4" s="419"/>
      <c r="BB4" s="419"/>
      <c r="BC4" s="419"/>
      <c r="BD4" s="419"/>
      <c r="BE4" s="419"/>
      <c r="BF4" s="419"/>
      <c r="BG4" s="419"/>
      <c r="BH4" s="419"/>
      <c r="BI4" s="419"/>
    </row>
    <row r="5" spans="1:61" s="420" customFormat="1" ht="14.45" customHeight="1">
      <c r="A5" s="1001"/>
      <c r="B5" s="1001"/>
      <c r="C5" s="1059" t="s">
        <v>6</v>
      </c>
      <c r="D5" s="1059"/>
      <c r="E5" s="1059"/>
      <c r="F5" s="1059"/>
      <c r="G5" s="1059"/>
      <c r="H5" s="1059"/>
      <c r="I5" s="1059"/>
      <c r="J5" s="1059"/>
      <c r="K5" s="1059"/>
      <c r="L5" s="1059"/>
      <c r="M5" s="1059"/>
      <c r="N5" s="1059"/>
      <c r="O5" s="1059"/>
      <c r="P5" s="1059"/>
      <c r="Q5" s="1059"/>
      <c r="R5" s="1059"/>
      <c r="S5" s="1059"/>
      <c r="T5" s="1059"/>
      <c r="U5" s="1059"/>
      <c r="V5" s="1059"/>
      <c r="W5" s="1059"/>
      <c r="X5" s="1059"/>
      <c r="Y5" s="1059"/>
      <c r="Z5" s="1059"/>
      <c r="AA5" s="1059"/>
      <c r="AB5" s="1059"/>
      <c r="AC5" s="1059"/>
      <c r="AD5" s="1059"/>
      <c r="AE5" s="1059"/>
      <c r="AF5" s="1059"/>
      <c r="AG5" s="1059"/>
      <c r="AH5" s="1059"/>
      <c r="AI5" s="1059"/>
      <c r="AJ5" s="1059"/>
      <c r="AK5" s="1059"/>
      <c r="AL5" s="1059"/>
      <c r="AM5" s="1059"/>
      <c r="AN5" s="1059"/>
      <c r="AO5" s="1059"/>
      <c r="AP5" s="418" t="s">
        <v>7</v>
      </c>
      <c r="AQ5" s="424" t="s">
        <v>8</v>
      </c>
      <c r="AR5" s="419"/>
      <c r="AS5" s="419"/>
      <c r="AT5" s="419"/>
      <c r="AU5" s="419"/>
      <c r="AV5" s="419"/>
      <c r="AW5" s="419"/>
      <c r="AX5" s="419"/>
      <c r="AY5" s="419"/>
      <c r="AZ5" s="419"/>
      <c r="BA5" s="419"/>
      <c r="BB5" s="419"/>
      <c r="BC5" s="419"/>
      <c r="BD5" s="419"/>
      <c r="BE5" s="419"/>
      <c r="BF5" s="419"/>
      <c r="BG5" s="419"/>
      <c r="BH5" s="419"/>
      <c r="BI5" s="419"/>
    </row>
    <row r="6" spans="1:61" s="420" customFormat="1" ht="9.75" customHeight="1">
      <c r="A6" s="1001"/>
      <c r="B6" s="1001"/>
      <c r="C6" s="1059"/>
      <c r="D6" s="1059"/>
      <c r="E6" s="1059"/>
      <c r="F6" s="1059"/>
      <c r="G6" s="1059"/>
      <c r="H6" s="1059"/>
      <c r="I6" s="1059"/>
      <c r="J6" s="1059"/>
      <c r="K6" s="1060"/>
      <c r="L6" s="1060"/>
      <c r="M6" s="1060"/>
      <c r="N6" s="1059"/>
      <c r="O6" s="1059"/>
      <c r="P6" s="1059"/>
      <c r="Q6" s="1059"/>
      <c r="R6" s="1059"/>
      <c r="S6" s="1059"/>
      <c r="T6" s="1059"/>
      <c r="U6" s="1059"/>
      <c r="V6" s="1059"/>
      <c r="W6" s="1059"/>
      <c r="X6" s="1059"/>
      <c r="Y6" s="1059"/>
      <c r="Z6" s="1059"/>
      <c r="AA6" s="1059"/>
      <c r="AB6" s="1059"/>
      <c r="AC6" s="1059"/>
      <c r="AD6" s="1059"/>
      <c r="AE6" s="1059"/>
      <c r="AF6" s="1059"/>
      <c r="AG6" s="1059"/>
      <c r="AH6" s="1059"/>
      <c r="AI6" s="1059"/>
      <c r="AJ6" s="1059"/>
      <c r="AK6" s="1059"/>
      <c r="AL6" s="1059"/>
      <c r="AM6" s="1059"/>
      <c r="AN6" s="1059"/>
      <c r="AO6" s="1059"/>
      <c r="AP6" s="425"/>
      <c r="AQ6" s="426"/>
      <c r="AR6" s="419"/>
      <c r="AS6" s="419"/>
      <c r="AT6" s="419"/>
      <c r="AU6" s="419"/>
      <c r="AV6" s="419"/>
      <c r="AW6" s="419"/>
      <c r="AX6" s="419"/>
      <c r="AY6" s="419"/>
      <c r="AZ6" s="419"/>
      <c r="BA6" s="419"/>
      <c r="BB6" s="419"/>
      <c r="BC6" s="419"/>
      <c r="BD6" s="419"/>
      <c r="BE6" s="419"/>
      <c r="BF6" s="419"/>
      <c r="BG6" s="419"/>
      <c r="BH6" s="419"/>
      <c r="BI6" s="419"/>
    </row>
    <row r="7" spans="1:61" ht="21" customHeight="1">
      <c r="A7" s="1061" t="s">
        <v>9</v>
      </c>
      <c r="B7" s="1062"/>
      <c r="C7" s="1061" t="s">
        <v>10</v>
      </c>
      <c r="D7" s="1065"/>
      <c r="E7" s="1061" t="s">
        <v>11</v>
      </c>
      <c r="F7" s="1065"/>
      <c r="G7" s="1061" t="s">
        <v>12</v>
      </c>
      <c r="H7" s="1065"/>
      <c r="I7" s="1067" t="s">
        <v>13</v>
      </c>
      <c r="J7" s="1067"/>
      <c r="K7" s="1069" t="s">
        <v>14</v>
      </c>
      <c r="L7" s="1069"/>
      <c r="M7" s="1069"/>
      <c r="N7" s="1073" t="s">
        <v>15</v>
      </c>
      <c r="O7" s="1073"/>
      <c r="P7" s="1073"/>
      <c r="Q7" s="1073"/>
      <c r="R7" s="427"/>
      <c r="S7" s="975"/>
      <c r="T7" s="975"/>
      <c r="U7" s="975"/>
      <c r="V7" s="6"/>
      <c r="W7" s="6"/>
      <c r="X7" s="7"/>
      <c r="Y7" s="1083" t="s">
        <v>16</v>
      </c>
      <c r="Z7" s="1084"/>
      <c r="AA7" s="1084"/>
      <c r="AB7" s="1084"/>
      <c r="AC7" s="1084"/>
      <c r="AD7" s="1084"/>
      <c r="AE7" s="1084"/>
      <c r="AF7" s="1084"/>
      <c r="AG7" s="1084"/>
      <c r="AH7" s="1084"/>
      <c r="AI7" s="1084"/>
      <c r="AJ7" s="1084"/>
      <c r="AK7" s="1084"/>
      <c r="AL7" s="1084"/>
      <c r="AM7" s="1084"/>
      <c r="AN7" s="1085"/>
      <c r="AO7" s="1070" t="s">
        <v>17</v>
      </c>
      <c r="AP7" s="1070" t="s">
        <v>18</v>
      </c>
      <c r="AQ7" s="1070" t="s">
        <v>19</v>
      </c>
    </row>
    <row r="8" spans="1:61" s="430" customFormat="1" ht="12.75" customHeight="1">
      <c r="A8" s="1063"/>
      <c r="B8" s="1064"/>
      <c r="C8" s="1063"/>
      <c r="D8" s="1066"/>
      <c r="E8" s="1063"/>
      <c r="F8" s="1066"/>
      <c r="G8" s="1063"/>
      <c r="H8" s="1066"/>
      <c r="I8" s="1068"/>
      <c r="J8" s="1068"/>
      <c r="K8" s="1069"/>
      <c r="L8" s="1069"/>
      <c r="M8" s="1069"/>
      <c r="N8" s="1074"/>
      <c r="O8" s="1074"/>
      <c r="P8" s="1074"/>
      <c r="Q8" s="1074"/>
      <c r="R8" s="428"/>
      <c r="S8" s="976"/>
      <c r="T8" s="976"/>
      <c r="U8" s="976"/>
      <c r="V8" s="1075" t="s">
        <v>20</v>
      </c>
      <c r="W8" s="1076"/>
      <c r="X8" s="1077"/>
      <c r="Y8" s="1078" t="s">
        <v>21</v>
      </c>
      <c r="Z8" s="1079"/>
      <c r="AA8" s="1080" t="s">
        <v>22</v>
      </c>
      <c r="AB8" s="1079"/>
      <c r="AC8" s="1079"/>
      <c r="AD8" s="1079"/>
      <c r="AE8" s="1081" t="s">
        <v>23</v>
      </c>
      <c r="AF8" s="1079"/>
      <c r="AG8" s="1079"/>
      <c r="AH8" s="1079"/>
      <c r="AI8" s="1079"/>
      <c r="AJ8" s="1079"/>
      <c r="AK8" s="1080" t="s">
        <v>24</v>
      </c>
      <c r="AL8" s="1079"/>
      <c r="AM8" s="1079"/>
      <c r="AN8" s="1082" t="s">
        <v>25</v>
      </c>
      <c r="AO8" s="1071"/>
      <c r="AP8" s="1071"/>
      <c r="AQ8" s="1071"/>
      <c r="AR8" s="429"/>
      <c r="AS8" s="429"/>
      <c r="AT8" s="429"/>
      <c r="AU8" s="429"/>
      <c r="AV8" s="429"/>
      <c r="AW8" s="429"/>
      <c r="AX8" s="429"/>
      <c r="AY8" s="429"/>
      <c r="AZ8" s="429"/>
      <c r="BA8" s="429"/>
      <c r="BB8" s="429"/>
      <c r="BC8" s="429"/>
      <c r="BD8" s="429"/>
      <c r="BE8" s="429"/>
      <c r="BF8" s="429"/>
    </row>
    <row r="9" spans="1:61" s="439" customFormat="1" ht="55.5" customHeight="1">
      <c r="A9" s="431" t="s">
        <v>26</v>
      </c>
      <c r="B9" s="431" t="s">
        <v>27</v>
      </c>
      <c r="C9" s="431" t="s">
        <v>28</v>
      </c>
      <c r="D9" s="432" t="s">
        <v>29</v>
      </c>
      <c r="E9" s="432" t="s">
        <v>28</v>
      </c>
      <c r="F9" s="432" t="s">
        <v>29</v>
      </c>
      <c r="G9" s="433" t="s">
        <v>26</v>
      </c>
      <c r="H9" s="433" t="s">
        <v>29</v>
      </c>
      <c r="I9" s="433" t="s">
        <v>30</v>
      </c>
      <c r="J9" s="433" t="s">
        <v>31</v>
      </c>
      <c r="K9" s="434" t="s">
        <v>32</v>
      </c>
      <c r="L9" s="434" t="s">
        <v>33</v>
      </c>
      <c r="M9" s="434" t="s">
        <v>25</v>
      </c>
      <c r="N9" s="433" t="s">
        <v>34</v>
      </c>
      <c r="O9" s="433" t="s">
        <v>35</v>
      </c>
      <c r="P9" s="432" t="s">
        <v>36</v>
      </c>
      <c r="Q9" s="435" t="s">
        <v>37</v>
      </c>
      <c r="R9" s="436" t="s">
        <v>38</v>
      </c>
      <c r="S9" s="435" t="s">
        <v>39</v>
      </c>
      <c r="T9" s="435" t="s">
        <v>40</v>
      </c>
      <c r="U9" s="435" t="s">
        <v>41</v>
      </c>
      <c r="V9" s="431" t="s">
        <v>42</v>
      </c>
      <c r="W9" s="432" t="s">
        <v>26</v>
      </c>
      <c r="X9" s="432" t="s">
        <v>27</v>
      </c>
      <c r="Y9" s="437" t="s">
        <v>43</v>
      </c>
      <c r="Z9" s="438" t="s">
        <v>44</v>
      </c>
      <c r="AA9" s="437" t="s">
        <v>45</v>
      </c>
      <c r="AB9" s="437" t="s">
        <v>46</v>
      </c>
      <c r="AC9" s="437" t="s">
        <v>47</v>
      </c>
      <c r="AD9" s="437" t="s">
        <v>48</v>
      </c>
      <c r="AE9" s="437" t="s">
        <v>49</v>
      </c>
      <c r="AF9" s="437" t="s">
        <v>50</v>
      </c>
      <c r="AG9" s="437" t="s">
        <v>51</v>
      </c>
      <c r="AH9" s="437" t="s">
        <v>52</v>
      </c>
      <c r="AI9" s="437" t="s">
        <v>53</v>
      </c>
      <c r="AJ9" s="437" t="s">
        <v>54</v>
      </c>
      <c r="AK9" s="437" t="s">
        <v>55</v>
      </c>
      <c r="AL9" s="437" t="s">
        <v>56</v>
      </c>
      <c r="AM9" s="437" t="s">
        <v>57</v>
      </c>
      <c r="AN9" s="1082"/>
      <c r="AO9" s="1072"/>
      <c r="AP9" s="1072"/>
      <c r="AQ9" s="1072"/>
      <c r="AR9" s="429"/>
      <c r="AS9" s="429"/>
      <c r="AT9" s="429"/>
      <c r="AU9" s="429"/>
      <c r="AV9" s="429"/>
      <c r="AW9" s="429"/>
      <c r="AX9" s="429"/>
      <c r="AY9" s="429"/>
      <c r="AZ9" s="429"/>
      <c r="BA9" s="429"/>
      <c r="BB9" s="429"/>
      <c r="BC9" s="429"/>
      <c r="BD9" s="429"/>
      <c r="BE9" s="429"/>
      <c r="BF9" s="429"/>
    </row>
    <row r="10" spans="1:61" ht="108" customHeight="1">
      <c r="A10" s="440">
        <v>4</v>
      </c>
      <c r="B10" s="441" t="s">
        <v>58</v>
      </c>
      <c r="C10" s="442">
        <v>45</v>
      </c>
      <c r="D10" s="443" t="s">
        <v>851</v>
      </c>
      <c r="E10" s="444">
        <v>4599</v>
      </c>
      <c r="F10" s="441" t="s">
        <v>60</v>
      </c>
      <c r="G10" s="445">
        <v>4599023</v>
      </c>
      <c r="H10" s="441" t="s">
        <v>62</v>
      </c>
      <c r="I10" s="444">
        <v>459902300</v>
      </c>
      <c r="J10" s="441" t="s">
        <v>63</v>
      </c>
      <c r="K10" s="444">
        <v>1</v>
      </c>
      <c r="L10" s="444"/>
      <c r="M10" s="444">
        <f>+K10+L10</f>
        <v>1</v>
      </c>
      <c r="N10" s="440">
        <v>2024003630021</v>
      </c>
      <c r="O10" s="441" t="s">
        <v>983</v>
      </c>
      <c r="P10" s="446" t="s">
        <v>984</v>
      </c>
      <c r="Q10" s="447">
        <v>10000000</v>
      </c>
      <c r="R10" s="36"/>
      <c r="S10" s="29"/>
      <c r="T10" s="29"/>
      <c r="U10" s="32">
        <f>+Q10-R10+S10-T10</f>
        <v>10000000</v>
      </c>
      <c r="V10" s="28" t="s">
        <v>985</v>
      </c>
      <c r="W10" s="265">
        <v>20</v>
      </c>
      <c r="X10" s="115" t="s">
        <v>986</v>
      </c>
      <c r="Y10" s="265">
        <v>293304</v>
      </c>
      <c r="Z10" s="265">
        <v>272744</v>
      </c>
      <c r="AA10" s="265">
        <v>99059</v>
      </c>
      <c r="AB10" s="265">
        <v>36139</v>
      </c>
      <c r="AC10" s="265">
        <v>314186</v>
      </c>
      <c r="AD10" s="265">
        <v>116664</v>
      </c>
      <c r="AE10" s="265">
        <v>3247</v>
      </c>
      <c r="AF10" s="265">
        <v>6804</v>
      </c>
      <c r="AG10" s="265">
        <v>25</v>
      </c>
      <c r="AH10" s="265">
        <v>7</v>
      </c>
      <c r="AI10" s="265">
        <v>0</v>
      </c>
      <c r="AJ10" s="265">
        <v>0</v>
      </c>
      <c r="AK10" s="265">
        <v>50946</v>
      </c>
      <c r="AL10" s="265">
        <v>28554</v>
      </c>
      <c r="AM10" s="265">
        <v>53914</v>
      </c>
      <c r="AN10" s="265">
        <v>566048</v>
      </c>
      <c r="AO10" s="448">
        <v>46023</v>
      </c>
      <c r="AP10" s="448">
        <v>46387</v>
      </c>
      <c r="AQ10" s="115" t="s">
        <v>987</v>
      </c>
    </row>
    <row r="11" spans="1:61" ht="108" customHeight="1">
      <c r="A11" s="440">
        <v>4</v>
      </c>
      <c r="B11" s="441" t="s">
        <v>58</v>
      </c>
      <c r="C11" s="442">
        <v>45</v>
      </c>
      <c r="D11" s="443" t="s">
        <v>851</v>
      </c>
      <c r="E11" s="444" t="s">
        <v>489</v>
      </c>
      <c r="F11" s="441" t="s">
        <v>60</v>
      </c>
      <c r="G11" s="445" t="s">
        <v>61</v>
      </c>
      <c r="H11" s="441" t="s">
        <v>62</v>
      </c>
      <c r="I11" s="444">
        <v>459902300</v>
      </c>
      <c r="J11" s="441" t="s">
        <v>63</v>
      </c>
      <c r="K11" s="444">
        <v>1</v>
      </c>
      <c r="L11" s="444"/>
      <c r="M11" s="444">
        <f>+K11+L11</f>
        <v>1</v>
      </c>
      <c r="N11" s="440">
        <v>2024003630021</v>
      </c>
      <c r="O11" s="441" t="s">
        <v>983</v>
      </c>
      <c r="P11" s="145" t="s">
        <v>988</v>
      </c>
      <c r="Q11" s="449">
        <v>207158000</v>
      </c>
      <c r="R11" s="36">
        <f>14800000+12800000+16000000+14800000+22000000</f>
        <v>80400000</v>
      </c>
      <c r="S11" s="29"/>
      <c r="T11" s="29"/>
      <c r="U11" s="32">
        <f t="shared" ref="U11:U25" si="0">+Q11-R11+S11-T11</f>
        <v>126758000</v>
      </c>
      <c r="V11" s="450" t="s">
        <v>989</v>
      </c>
      <c r="W11" s="265">
        <v>20</v>
      </c>
      <c r="X11" s="115" t="s">
        <v>986</v>
      </c>
      <c r="Y11" s="265">
        <v>293304</v>
      </c>
      <c r="Z11" s="265">
        <v>272744</v>
      </c>
      <c r="AA11" s="265">
        <v>99059</v>
      </c>
      <c r="AB11" s="265">
        <v>36139</v>
      </c>
      <c r="AC11" s="265">
        <v>314186</v>
      </c>
      <c r="AD11" s="265">
        <v>116664</v>
      </c>
      <c r="AE11" s="265">
        <v>3247</v>
      </c>
      <c r="AF11" s="265">
        <v>6804</v>
      </c>
      <c r="AG11" s="265">
        <v>25</v>
      </c>
      <c r="AH11" s="265">
        <v>7</v>
      </c>
      <c r="AI11" s="265">
        <v>0</v>
      </c>
      <c r="AJ11" s="265">
        <v>0</v>
      </c>
      <c r="AK11" s="265">
        <v>50946</v>
      </c>
      <c r="AL11" s="265">
        <v>28554</v>
      </c>
      <c r="AM11" s="265">
        <v>53914</v>
      </c>
      <c r="AN11" s="265">
        <v>566048</v>
      </c>
      <c r="AO11" s="448">
        <v>46023</v>
      </c>
      <c r="AP11" s="448">
        <v>46387</v>
      </c>
      <c r="AQ11" s="115" t="s">
        <v>987</v>
      </c>
    </row>
    <row r="12" spans="1:61" ht="108" customHeight="1">
      <c r="A12" s="451">
        <v>4</v>
      </c>
      <c r="B12" s="443" t="s">
        <v>58</v>
      </c>
      <c r="C12" s="442">
        <v>45</v>
      </c>
      <c r="D12" s="443" t="s">
        <v>851</v>
      </c>
      <c r="E12" s="444" t="s">
        <v>489</v>
      </c>
      <c r="F12" s="441" t="s">
        <v>60</v>
      </c>
      <c r="G12" s="445">
        <v>4599029</v>
      </c>
      <c r="H12" s="441" t="s">
        <v>98</v>
      </c>
      <c r="I12" s="444" t="s">
        <v>990</v>
      </c>
      <c r="J12" s="441" t="s">
        <v>99</v>
      </c>
      <c r="K12" s="115">
        <v>1</v>
      </c>
      <c r="L12" s="115"/>
      <c r="M12" s="115">
        <v>1</v>
      </c>
      <c r="N12" s="23">
        <v>2024003630027</v>
      </c>
      <c r="O12" s="133" t="s">
        <v>991</v>
      </c>
      <c r="P12" s="452" t="s">
        <v>992</v>
      </c>
      <c r="Q12" s="453">
        <v>300000000</v>
      </c>
      <c r="R12" s="138">
        <f>1850000+22200000+12000000+14800000+10800000+14800000+14800000+14800000+10800000+16000000+14800000</f>
        <v>147650000</v>
      </c>
      <c r="S12" s="139"/>
      <c r="T12" s="139"/>
      <c r="U12" s="32">
        <f t="shared" si="0"/>
        <v>152350000</v>
      </c>
      <c r="V12" s="450" t="s">
        <v>993</v>
      </c>
      <c r="W12" s="23">
        <v>20</v>
      </c>
      <c r="X12" s="28" t="s">
        <v>986</v>
      </c>
      <c r="Y12" s="265">
        <v>293304</v>
      </c>
      <c r="Z12" s="265">
        <v>272744</v>
      </c>
      <c r="AA12" s="265">
        <v>99059</v>
      </c>
      <c r="AB12" s="265">
        <v>36139</v>
      </c>
      <c r="AC12" s="265">
        <v>314186</v>
      </c>
      <c r="AD12" s="265">
        <v>116664</v>
      </c>
      <c r="AE12" s="265">
        <v>3247</v>
      </c>
      <c r="AF12" s="265">
        <v>6804</v>
      </c>
      <c r="AG12" s="265">
        <v>25</v>
      </c>
      <c r="AH12" s="265">
        <v>7</v>
      </c>
      <c r="AI12" s="265">
        <v>0</v>
      </c>
      <c r="AJ12" s="265">
        <v>0</v>
      </c>
      <c r="AK12" s="265">
        <v>50946</v>
      </c>
      <c r="AL12" s="265">
        <v>28554</v>
      </c>
      <c r="AM12" s="265">
        <v>53914</v>
      </c>
      <c r="AN12" s="265">
        <v>566048</v>
      </c>
      <c r="AO12" s="144">
        <v>46023</v>
      </c>
      <c r="AP12" s="144">
        <v>46387</v>
      </c>
      <c r="AQ12" s="115" t="s">
        <v>987</v>
      </c>
    </row>
    <row r="13" spans="1:61" ht="108" customHeight="1">
      <c r="A13" s="451">
        <v>4</v>
      </c>
      <c r="B13" s="443" t="s">
        <v>58</v>
      </c>
      <c r="C13" s="442">
        <v>45</v>
      </c>
      <c r="D13" s="443" t="s">
        <v>851</v>
      </c>
      <c r="E13" s="444" t="s">
        <v>489</v>
      </c>
      <c r="F13" s="441" t="s">
        <v>60</v>
      </c>
      <c r="G13" s="445">
        <v>4599029</v>
      </c>
      <c r="H13" s="441" t="s">
        <v>98</v>
      </c>
      <c r="I13" s="444" t="s">
        <v>990</v>
      </c>
      <c r="J13" s="441" t="s">
        <v>99</v>
      </c>
      <c r="K13" s="115">
        <v>1</v>
      </c>
      <c r="L13" s="115"/>
      <c r="M13" s="115">
        <v>1</v>
      </c>
      <c r="N13" s="23">
        <v>2024003630027</v>
      </c>
      <c r="O13" s="133" t="s">
        <v>991</v>
      </c>
      <c r="P13" s="446" t="s">
        <v>994</v>
      </c>
      <c r="Q13" s="455">
        <v>700000000</v>
      </c>
      <c r="R13" s="36">
        <f>90000000</f>
        <v>90000000</v>
      </c>
      <c r="S13" s="29"/>
      <c r="T13" s="29"/>
      <c r="U13" s="32">
        <f t="shared" si="0"/>
        <v>610000000</v>
      </c>
      <c r="V13" s="450" t="s">
        <v>993</v>
      </c>
      <c r="W13" s="23">
        <v>20</v>
      </c>
      <c r="X13" s="28" t="s">
        <v>986</v>
      </c>
      <c r="Y13" s="265">
        <v>293304</v>
      </c>
      <c r="Z13" s="265">
        <v>272744</v>
      </c>
      <c r="AA13" s="265">
        <v>99059</v>
      </c>
      <c r="AB13" s="265">
        <v>36139</v>
      </c>
      <c r="AC13" s="265">
        <v>314186</v>
      </c>
      <c r="AD13" s="265">
        <v>116664</v>
      </c>
      <c r="AE13" s="265">
        <v>3247</v>
      </c>
      <c r="AF13" s="265">
        <v>6804</v>
      </c>
      <c r="AG13" s="265">
        <v>25</v>
      </c>
      <c r="AH13" s="265">
        <v>7</v>
      </c>
      <c r="AI13" s="265">
        <v>0</v>
      </c>
      <c r="AJ13" s="265">
        <v>0</v>
      </c>
      <c r="AK13" s="265">
        <v>50946</v>
      </c>
      <c r="AL13" s="265">
        <v>28554</v>
      </c>
      <c r="AM13" s="265">
        <v>53914</v>
      </c>
      <c r="AN13" s="265">
        <v>566048</v>
      </c>
      <c r="AO13" s="144">
        <v>46023</v>
      </c>
      <c r="AP13" s="144">
        <v>46387</v>
      </c>
      <c r="AQ13" s="115" t="s">
        <v>987</v>
      </c>
    </row>
    <row r="14" spans="1:61" ht="135" customHeight="1">
      <c r="A14" s="451">
        <v>4</v>
      </c>
      <c r="B14" s="443" t="s">
        <v>58</v>
      </c>
      <c r="C14" s="442">
        <v>45</v>
      </c>
      <c r="D14" s="443" t="s">
        <v>851</v>
      </c>
      <c r="E14" s="444" t="s">
        <v>995</v>
      </c>
      <c r="F14" s="441" t="s">
        <v>97</v>
      </c>
      <c r="G14" s="445">
        <v>4502001</v>
      </c>
      <c r="H14" s="441" t="s">
        <v>183</v>
      </c>
      <c r="I14" s="444">
        <v>450200100</v>
      </c>
      <c r="J14" s="441" t="s">
        <v>184</v>
      </c>
      <c r="K14" s="444">
        <v>30</v>
      </c>
      <c r="L14" s="444"/>
      <c r="M14" s="444">
        <v>30</v>
      </c>
      <c r="N14" s="23">
        <v>2024003630031</v>
      </c>
      <c r="O14" s="456" t="s">
        <v>996</v>
      </c>
      <c r="P14" s="457" t="s">
        <v>997</v>
      </c>
      <c r="Q14" s="455">
        <v>327187119</v>
      </c>
      <c r="R14" s="36">
        <f>12000000+14800000+20000000+9200000+14800000+9200000+9200000+20000000+14800000+12000000+9200000+9200000+16000000+14800000+10800000+14800000</f>
        <v>210800000</v>
      </c>
      <c r="S14" s="29"/>
      <c r="T14" s="29"/>
      <c r="U14" s="32">
        <f t="shared" si="0"/>
        <v>116387119</v>
      </c>
      <c r="V14" s="458" t="s">
        <v>998</v>
      </c>
      <c r="W14" s="23">
        <v>20</v>
      </c>
      <c r="X14" s="28" t="s">
        <v>986</v>
      </c>
      <c r="Y14" s="265">
        <v>293304</v>
      </c>
      <c r="Z14" s="265">
        <v>272744</v>
      </c>
      <c r="AA14" s="265">
        <v>99059</v>
      </c>
      <c r="AB14" s="265">
        <v>36139</v>
      </c>
      <c r="AC14" s="265">
        <v>314186</v>
      </c>
      <c r="AD14" s="265">
        <v>116664</v>
      </c>
      <c r="AE14" s="265">
        <v>3247</v>
      </c>
      <c r="AF14" s="265">
        <v>6804</v>
      </c>
      <c r="AG14" s="265">
        <v>25</v>
      </c>
      <c r="AH14" s="265">
        <v>7</v>
      </c>
      <c r="AI14" s="265">
        <v>0</v>
      </c>
      <c r="AJ14" s="265">
        <v>0</v>
      </c>
      <c r="AK14" s="265">
        <v>50946</v>
      </c>
      <c r="AL14" s="265">
        <v>28554</v>
      </c>
      <c r="AM14" s="265">
        <v>53914</v>
      </c>
      <c r="AN14" s="265">
        <v>566048</v>
      </c>
      <c r="AO14" s="448">
        <v>46023</v>
      </c>
      <c r="AP14" s="448">
        <v>46387</v>
      </c>
      <c r="AQ14" s="115" t="s">
        <v>987</v>
      </c>
    </row>
    <row r="15" spans="1:61" ht="123" customHeight="1">
      <c r="A15" s="451">
        <v>4</v>
      </c>
      <c r="B15" s="443" t="s">
        <v>58</v>
      </c>
      <c r="C15" s="442">
        <v>45</v>
      </c>
      <c r="D15" s="443" t="s">
        <v>851</v>
      </c>
      <c r="E15" s="444" t="s">
        <v>995</v>
      </c>
      <c r="F15" s="441" t="s">
        <v>97</v>
      </c>
      <c r="G15" s="445">
        <v>4502001</v>
      </c>
      <c r="H15" s="441" t="s">
        <v>183</v>
      </c>
      <c r="I15" s="444">
        <v>450200100</v>
      </c>
      <c r="J15" s="441" t="s">
        <v>184</v>
      </c>
      <c r="K15" s="444">
        <v>30</v>
      </c>
      <c r="L15" s="444"/>
      <c r="M15" s="444">
        <v>30</v>
      </c>
      <c r="N15" s="23">
        <v>2024003630031</v>
      </c>
      <c r="O15" s="456" t="s">
        <v>996</v>
      </c>
      <c r="P15" s="457" t="s">
        <v>999</v>
      </c>
      <c r="Q15" s="459">
        <v>195356400</v>
      </c>
      <c r="R15" s="36"/>
      <c r="S15" s="29"/>
      <c r="T15" s="29"/>
      <c r="U15" s="32">
        <f t="shared" si="0"/>
        <v>195356400</v>
      </c>
      <c r="V15" s="458" t="s">
        <v>1000</v>
      </c>
      <c r="W15" s="23">
        <v>20</v>
      </c>
      <c r="X15" s="28" t="s">
        <v>986</v>
      </c>
      <c r="Y15" s="460">
        <v>293304</v>
      </c>
      <c r="Z15" s="460">
        <v>272744</v>
      </c>
      <c r="AA15" s="460">
        <v>99059</v>
      </c>
      <c r="AB15" s="460">
        <v>36139</v>
      </c>
      <c r="AC15" s="265">
        <v>314186</v>
      </c>
      <c r="AD15" s="265">
        <v>116664</v>
      </c>
      <c r="AE15" s="265">
        <v>3247</v>
      </c>
      <c r="AF15" s="265">
        <v>6804</v>
      </c>
      <c r="AG15" s="265">
        <v>25</v>
      </c>
      <c r="AH15" s="265">
        <v>7</v>
      </c>
      <c r="AI15" s="265">
        <v>0</v>
      </c>
      <c r="AJ15" s="265">
        <v>0</v>
      </c>
      <c r="AK15" s="265">
        <v>50946</v>
      </c>
      <c r="AL15" s="265">
        <v>28554</v>
      </c>
      <c r="AM15" s="265">
        <v>53914</v>
      </c>
      <c r="AN15" s="265">
        <v>566048</v>
      </c>
      <c r="AO15" s="448">
        <v>46023</v>
      </c>
      <c r="AP15" s="448">
        <v>46387</v>
      </c>
      <c r="AQ15" s="115" t="s">
        <v>987</v>
      </c>
    </row>
    <row r="16" spans="1:61" ht="108" customHeight="1">
      <c r="A16" s="451">
        <v>4</v>
      </c>
      <c r="B16" s="443" t="s">
        <v>58</v>
      </c>
      <c r="C16" s="442">
        <v>45</v>
      </c>
      <c r="D16" s="443" t="s">
        <v>851</v>
      </c>
      <c r="E16" s="444" t="s">
        <v>995</v>
      </c>
      <c r="F16" s="441" t="s">
        <v>97</v>
      </c>
      <c r="G16" s="445">
        <v>4502001</v>
      </c>
      <c r="H16" s="441" t="s">
        <v>183</v>
      </c>
      <c r="I16" s="444">
        <v>450200100</v>
      </c>
      <c r="J16" s="441" t="s">
        <v>184</v>
      </c>
      <c r="K16" s="115">
        <v>30</v>
      </c>
      <c r="L16" s="115"/>
      <c r="M16" s="115">
        <v>30</v>
      </c>
      <c r="N16" s="23">
        <v>2024003630031</v>
      </c>
      <c r="O16" s="456" t="s">
        <v>996</v>
      </c>
      <c r="P16" s="457" t="s">
        <v>1001</v>
      </c>
      <c r="Q16" s="461">
        <v>302613470</v>
      </c>
      <c r="R16" s="36"/>
      <c r="S16" s="29"/>
      <c r="T16" s="29"/>
      <c r="U16" s="32">
        <f t="shared" si="0"/>
        <v>302613470</v>
      </c>
      <c r="V16" s="458" t="s">
        <v>998</v>
      </c>
      <c r="W16" s="23">
        <v>20</v>
      </c>
      <c r="X16" s="28" t="s">
        <v>986</v>
      </c>
      <c r="Y16" s="460">
        <v>293304</v>
      </c>
      <c r="Z16" s="460">
        <v>272744</v>
      </c>
      <c r="AA16" s="460">
        <v>99059</v>
      </c>
      <c r="AB16" s="460">
        <v>36139</v>
      </c>
      <c r="AC16" s="265">
        <v>314186</v>
      </c>
      <c r="AD16" s="265">
        <v>116664</v>
      </c>
      <c r="AE16" s="265">
        <v>3247</v>
      </c>
      <c r="AF16" s="265">
        <v>6804</v>
      </c>
      <c r="AG16" s="265">
        <v>25</v>
      </c>
      <c r="AH16" s="265">
        <v>7</v>
      </c>
      <c r="AI16" s="265">
        <v>0</v>
      </c>
      <c r="AJ16" s="265">
        <v>0</v>
      </c>
      <c r="AK16" s="265">
        <v>50946</v>
      </c>
      <c r="AL16" s="265">
        <v>28554</v>
      </c>
      <c r="AM16" s="265">
        <v>53914</v>
      </c>
      <c r="AN16" s="265">
        <v>566048</v>
      </c>
      <c r="AO16" s="448">
        <v>46023</v>
      </c>
      <c r="AP16" s="448">
        <v>46387</v>
      </c>
      <c r="AQ16" s="115" t="s">
        <v>987</v>
      </c>
    </row>
    <row r="17" spans="1:43" ht="147.75" customHeight="1">
      <c r="A17" s="451">
        <v>4</v>
      </c>
      <c r="B17" s="443" t="s">
        <v>58</v>
      </c>
      <c r="C17" s="442">
        <v>45</v>
      </c>
      <c r="D17" s="443" t="s">
        <v>851</v>
      </c>
      <c r="E17" s="444" t="s">
        <v>995</v>
      </c>
      <c r="F17" s="441" t="s">
        <v>97</v>
      </c>
      <c r="G17" s="445">
        <v>4502001</v>
      </c>
      <c r="H17" s="441" t="s">
        <v>183</v>
      </c>
      <c r="I17" s="444">
        <v>450200100</v>
      </c>
      <c r="J17" s="441" t="s">
        <v>184</v>
      </c>
      <c r="K17" s="115">
        <v>30</v>
      </c>
      <c r="L17" s="115"/>
      <c r="M17" s="115">
        <v>30</v>
      </c>
      <c r="N17" s="23">
        <v>2024003630031</v>
      </c>
      <c r="O17" s="456" t="s">
        <v>996</v>
      </c>
      <c r="P17" s="457" t="s">
        <v>1002</v>
      </c>
      <c r="Q17" s="455">
        <v>20000000</v>
      </c>
      <c r="R17" s="36"/>
      <c r="S17" s="29"/>
      <c r="T17" s="29"/>
      <c r="U17" s="32">
        <f t="shared" si="0"/>
        <v>20000000</v>
      </c>
      <c r="V17" s="458" t="s">
        <v>1003</v>
      </c>
      <c r="W17" s="23">
        <v>20</v>
      </c>
      <c r="X17" s="28" t="s">
        <v>986</v>
      </c>
      <c r="Y17" s="460">
        <v>293304</v>
      </c>
      <c r="Z17" s="460">
        <v>272744</v>
      </c>
      <c r="AA17" s="460">
        <v>99059</v>
      </c>
      <c r="AB17" s="460">
        <v>36139</v>
      </c>
      <c r="AC17" s="265">
        <v>314186</v>
      </c>
      <c r="AD17" s="265">
        <v>116664</v>
      </c>
      <c r="AE17" s="265">
        <v>3247</v>
      </c>
      <c r="AF17" s="265">
        <v>6804</v>
      </c>
      <c r="AG17" s="265">
        <v>25</v>
      </c>
      <c r="AH17" s="265">
        <v>7</v>
      </c>
      <c r="AI17" s="265">
        <v>0</v>
      </c>
      <c r="AJ17" s="265">
        <v>0</v>
      </c>
      <c r="AK17" s="265">
        <v>50946</v>
      </c>
      <c r="AL17" s="265">
        <v>28554</v>
      </c>
      <c r="AM17" s="265">
        <v>53914</v>
      </c>
      <c r="AN17" s="265">
        <v>566048</v>
      </c>
      <c r="AO17" s="448">
        <v>46023</v>
      </c>
      <c r="AP17" s="448">
        <v>46387</v>
      </c>
      <c r="AQ17" s="115" t="s">
        <v>987</v>
      </c>
    </row>
    <row r="18" spans="1:43" ht="108" customHeight="1">
      <c r="A18" s="451">
        <v>4</v>
      </c>
      <c r="B18" s="443" t="s">
        <v>58</v>
      </c>
      <c r="C18" s="442">
        <v>45</v>
      </c>
      <c r="D18" s="443" t="s">
        <v>851</v>
      </c>
      <c r="E18" s="444" t="s">
        <v>995</v>
      </c>
      <c r="F18" s="441" t="s">
        <v>97</v>
      </c>
      <c r="G18" s="445">
        <v>4502001</v>
      </c>
      <c r="H18" s="441" t="s">
        <v>183</v>
      </c>
      <c r="I18" s="444">
        <v>450200100</v>
      </c>
      <c r="J18" s="441" t="s">
        <v>184</v>
      </c>
      <c r="K18" s="115">
        <v>30</v>
      </c>
      <c r="L18" s="115"/>
      <c r="M18" s="115">
        <v>30</v>
      </c>
      <c r="N18" s="23">
        <v>2024003630031</v>
      </c>
      <c r="O18" s="456" t="s">
        <v>996</v>
      </c>
      <c r="P18" s="457" t="s">
        <v>1004</v>
      </c>
      <c r="Q18" s="455">
        <v>63274274</v>
      </c>
      <c r="R18" s="36"/>
      <c r="S18" s="29"/>
      <c r="T18" s="29"/>
      <c r="U18" s="32">
        <f t="shared" si="0"/>
        <v>63274274</v>
      </c>
      <c r="V18" s="462" t="s">
        <v>1005</v>
      </c>
      <c r="W18" s="23">
        <v>20</v>
      </c>
      <c r="X18" s="28" t="s">
        <v>986</v>
      </c>
      <c r="Y18" s="460">
        <v>293304</v>
      </c>
      <c r="Z18" s="460">
        <v>272744</v>
      </c>
      <c r="AA18" s="460">
        <v>99059</v>
      </c>
      <c r="AB18" s="460">
        <v>36139</v>
      </c>
      <c r="AC18" s="265">
        <v>314186</v>
      </c>
      <c r="AD18" s="265">
        <v>116664</v>
      </c>
      <c r="AE18" s="265">
        <v>3247</v>
      </c>
      <c r="AF18" s="265">
        <v>6804</v>
      </c>
      <c r="AG18" s="265">
        <v>25</v>
      </c>
      <c r="AH18" s="265">
        <v>7</v>
      </c>
      <c r="AI18" s="265">
        <v>0</v>
      </c>
      <c r="AJ18" s="265">
        <v>0</v>
      </c>
      <c r="AK18" s="265">
        <v>50946</v>
      </c>
      <c r="AL18" s="265">
        <v>28554</v>
      </c>
      <c r="AM18" s="265">
        <v>53914</v>
      </c>
      <c r="AN18" s="265">
        <v>566048</v>
      </c>
      <c r="AO18" s="448">
        <v>46023</v>
      </c>
      <c r="AP18" s="448">
        <v>46387</v>
      </c>
      <c r="AQ18" s="115" t="s">
        <v>987</v>
      </c>
    </row>
    <row r="19" spans="1:43" ht="108" customHeight="1">
      <c r="A19" s="451">
        <v>4</v>
      </c>
      <c r="B19" s="443" t="s">
        <v>58</v>
      </c>
      <c r="C19" s="442">
        <v>45</v>
      </c>
      <c r="D19" s="443" t="s">
        <v>851</v>
      </c>
      <c r="E19" s="444" t="s">
        <v>995</v>
      </c>
      <c r="F19" s="441" t="s">
        <v>97</v>
      </c>
      <c r="G19" s="445">
        <v>4502001</v>
      </c>
      <c r="H19" s="441" t="s">
        <v>183</v>
      </c>
      <c r="I19" s="444">
        <v>450200100</v>
      </c>
      <c r="J19" s="441" t="s">
        <v>184</v>
      </c>
      <c r="K19" s="115">
        <v>30</v>
      </c>
      <c r="L19" s="115"/>
      <c r="M19" s="115">
        <v>30</v>
      </c>
      <c r="N19" s="23">
        <v>2024003630031</v>
      </c>
      <c r="O19" s="456" t="s">
        <v>996</v>
      </c>
      <c r="P19" s="457" t="s">
        <v>1006</v>
      </c>
      <c r="Q19" s="455">
        <v>40535664</v>
      </c>
      <c r="R19" s="36"/>
      <c r="S19" s="29"/>
      <c r="T19" s="29"/>
      <c r="U19" s="32">
        <f t="shared" si="0"/>
        <v>40535664</v>
      </c>
      <c r="V19" s="462" t="s">
        <v>1007</v>
      </c>
      <c r="W19" s="23">
        <v>20</v>
      </c>
      <c r="X19" s="28" t="s">
        <v>986</v>
      </c>
      <c r="Y19" s="460">
        <v>293304</v>
      </c>
      <c r="Z19" s="460">
        <v>272744</v>
      </c>
      <c r="AA19" s="460">
        <v>99059</v>
      </c>
      <c r="AB19" s="460">
        <v>36139</v>
      </c>
      <c r="AC19" s="265">
        <v>314186</v>
      </c>
      <c r="AD19" s="265">
        <v>116664</v>
      </c>
      <c r="AE19" s="265">
        <v>3247</v>
      </c>
      <c r="AF19" s="265">
        <v>6804</v>
      </c>
      <c r="AG19" s="265">
        <v>25</v>
      </c>
      <c r="AH19" s="265">
        <v>7</v>
      </c>
      <c r="AI19" s="265">
        <v>0</v>
      </c>
      <c r="AJ19" s="265">
        <v>0</v>
      </c>
      <c r="AK19" s="265">
        <v>50946</v>
      </c>
      <c r="AL19" s="265">
        <v>28554</v>
      </c>
      <c r="AM19" s="265">
        <v>53914</v>
      </c>
      <c r="AN19" s="265">
        <v>566048</v>
      </c>
      <c r="AO19" s="448">
        <v>46023</v>
      </c>
      <c r="AP19" s="448">
        <v>46387</v>
      </c>
      <c r="AQ19" s="115" t="s">
        <v>987</v>
      </c>
    </row>
    <row r="20" spans="1:43" ht="108" customHeight="1">
      <c r="A20" s="451">
        <v>4</v>
      </c>
      <c r="B20" s="443" t="s">
        <v>58</v>
      </c>
      <c r="C20" s="442">
        <v>45</v>
      </c>
      <c r="D20" s="443" t="s">
        <v>851</v>
      </c>
      <c r="E20" s="444" t="s">
        <v>995</v>
      </c>
      <c r="F20" s="441" t="s">
        <v>97</v>
      </c>
      <c r="G20" s="445">
        <v>4502001</v>
      </c>
      <c r="H20" s="441" t="s">
        <v>183</v>
      </c>
      <c r="I20" s="444">
        <v>450200100</v>
      </c>
      <c r="J20" s="441" t="s">
        <v>184</v>
      </c>
      <c r="K20" s="115">
        <v>30</v>
      </c>
      <c r="L20" s="115"/>
      <c r="M20" s="115">
        <v>30</v>
      </c>
      <c r="N20" s="23">
        <v>2024003630031</v>
      </c>
      <c r="O20" s="456" t="s">
        <v>996</v>
      </c>
      <c r="P20" s="457" t="s">
        <v>1008</v>
      </c>
      <c r="Q20" s="455">
        <v>48266593</v>
      </c>
      <c r="R20" s="36"/>
      <c r="S20" s="29"/>
      <c r="T20" s="29"/>
      <c r="U20" s="32">
        <f t="shared" si="0"/>
        <v>48266593</v>
      </c>
      <c r="V20" s="462" t="s">
        <v>1009</v>
      </c>
      <c r="W20" s="23">
        <v>20</v>
      </c>
      <c r="X20" s="28" t="s">
        <v>986</v>
      </c>
      <c r="Y20" s="460">
        <v>293304</v>
      </c>
      <c r="Z20" s="460">
        <v>272744</v>
      </c>
      <c r="AA20" s="460">
        <v>99059</v>
      </c>
      <c r="AB20" s="460">
        <v>36139</v>
      </c>
      <c r="AC20" s="265">
        <v>314186</v>
      </c>
      <c r="AD20" s="265">
        <v>116664</v>
      </c>
      <c r="AE20" s="265">
        <v>3247</v>
      </c>
      <c r="AF20" s="265">
        <v>6804</v>
      </c>
      <c r="AG20" s="265">
        <v>25</v>
      </c>
      <c r="AH20" s="265">
        <v>7</v>
      </c>
      <c r="AI20" s="265">
        <v>0</v>
      </c>
      <c r="AJ20" s="265">
        <v>0</v>
      </c>
      <c r="AK20" s="265">
        <v>50946</v>
      </c>
      <c r="AL20" s="265">
        <v>28554</v>
      </c>
      <c r="AM20" s="265">
        <v>53914</v>
      </c>
      <c r="AN20" s="265">
        <v>566048</v>
      </c>
      <c r="AO20" s="448">
        <v>46023</v>
      </c>
      <c r="AP20" s="448">
        <v>46387</v>
      </c>
      <c r="AQ20" s="115" t="s">
        <v>987</v>
      </c>
    </row>
    <row r="21" spans="1:43" ht="108" customHeight="1">
      <c r="A21" s="451">
        <v>4</v>
      </c>
      <c r="B21" s="443" t="s">
        <v>58</v>
      </c>
      <c r="C21" s="442">
        <v>45</v>
      </c>
      <c r="D21" s="443" t="s">
        <v>851</v>
      </c>
      <c r="E21" s="444" t="s">
        <v>995</v>
      </c>
      <c r="F21" s="441" t="s">
        <v>97</v>
      </c>
      <c r="G21" s="445">
        <v>4502001</v>
      </c>
      <c r="H21" s="441" t="s">
        <v>183</v>
      </c>
      <c r="I21" s="444">
        <v>450200100</v>
      </c>
      <c r="J21" s="441" t="s">
        <v>184</v>
      </c>
      <c r="K21" s="115">
        <v>30</v>
      </c>
      <c r="L21" s="115"/>
      <c r="M21" s="115">
        <v>30</v>
      </c>
      <c r="N21" s="23">
        <v>2024003630031</v>
      </c>
      <c r="O21" s="456" t="s">
        <v>996</v>
      </c>
      <c r="P21" s="457" t="s">
        <v>1010</v>
      </c>
      <c r="Q21" s="455">
        <v>13977600</v>
      </c>
      <c r="R21" s="36"/>
      <c r="S21" s="29"/>
      <c r="T21" s="29"/>
      <c r="U21" s="32">
        <f t="shared" si="0"/>
        <v>13977600</v>
      </c>
      <c r="V21" s="462" t="s">
        <v>1011</v>
      </c>
      <c r="W21" s="23">
        <v>20</v>
      </c>
      <c r="X21" s="28" t="s">
        <v>986</v>
      </c>
      <c r="Y21" s="460">
        <v>293304</v>
      </c>
      <c r="Z21" s="460">
        <v>272744</v>
      </c>
      <c r="AA21" s="460">
        <v>99059</v>
      </c>
      <c r="AB21" s="460">
        <v>36139</v>
      </c>
      <c r="AC21" s="265">
        <v>314186</v>
      </c>
      <c r="AD21" s="265">
        <v>116664</v>
      </c>
      <c r="AE21" s="265">
        <v>3247</v>
      </c>
      <c r="AF21" s="265">
        <v>6804</v>
      </c>
      <c r="AG21" s="265">
        <v>25</v>
      </c>
      <c r="AH21" s="265">
        <v>7</v>
      </c>
      <c r="AI21" s="265">
        <v>0</v>
      </c>
      <c r="AJ21" s="265">
        <v>0</v>
      </c>
      <c r="AK21" s="265">
        <v>50946</v>
      </c>
      <c r="AL21" s="265">
        <v>28554</v>
      </c>
      <c r="AM21" s="265">
        <v>53914</v>
      </c>
      <c r="AN21" s="265">
        <v>566048</v>
      </c>
      <c r="AO21" s="448">
        <v>46023</v>
      </c>
      <c r="AP21" s="448">
        <v>46387</v>
      </c>
      <c r="AQ21" s="115" t="s">
        <v>987</v>
      </c>
    </row>
    <row r="22" spans="1:43" ht="108" customHeight="1">
      <c r="A22" s="451">
        <v>4</v>
      </c>
      <c r="B22" s="443" t="s">
        <v>58</v>
      </c>
      <c r="C22" s="442">
        <v>45</v>
      </c>
      <c r="D22" s="443" t="s">
        <v>851</v>
      </c>
      <c r="E22" s="444" t="s">
        <v>995</v>
      </c>
      <c r="F22" s="441" t="s">
        <v>97</v>
      </c>
      <c r="G22" s="445">
        <v>4502001</v>
      </c>
      <c r="H22" s="441" t="s">
        <v>183</v>
      </c>
      <c r="I22" s="444">
        <v>450200100</v>
      </c>
      <c r="J22" s="441" t="s">
        <v>184</v>
      </c>
      <c r="K22" s="115">
        <v>30</v>
      </c>
      <c r="L22" s="115"/>
      <c r="M22" s="115">
        <v>30</v>
      </c>
      <c r="N22" s="23">
        <v>2024003630031</v>
      </c>
      <c r="O22" s="456" t="s">
        <v>996</v>
      </c>
      <c r="P22" s="457" t="s">
        <v>1012</v>
      </c>
      <c r="Q22" s="455">
        <v>8700195</v>
      </c>
      <c r="R22" s="36"/>
      <c r="S22" s="29"/>
      <c r="T22" s="29"/>
      <c r="U22" s="32">
        <f t="shared" si="0"/>
        <v>8700195</v>
      </c>
      <c r="V22" s="462" t="s">
        <v>1013</v>
      </c>
      <c r="W22" s="23">
        <v>20</v>
      </c>
      <c r="X22" s="28" t="s">
        <v>986</v>
      </c>
      <c r="Y22" s="460">
        <v>293304</v>
      </c>
      <c r="Z22" s="460">
        <v>272744</v>
      </c>
      <c r="AA22" s="460">
        <v>99059</v>
      </c>
      <c r="AB22" s="460">
        <v>36139</v>
      </c>
      <c r="AC22" s="265">
        <v>314186</v>
      </c>
      <c r="AD22" s="265">
        <v>116664</v>
      </c>
      <c r="AE22" s="265">
        <v>3247</v>
      </c>
      <c r="AF22" s="265">
        <v>6804</v>
      </c>
      <c r="AG22" s="265">
        <v>25</v>
      </c>
      <c r="AH22" s="265">
        <v>7</v>
      </c>
      <c r="AI22" s="265">
        <v>0</v>
      </c>
      <c r="AJ22" s="265">
        <v>0</v>
      </c>
      <c r="AK22" s="265">
        <v>50946</v>
      </c>
      <c r="AL22" s="265">
        <v>28554</v>
      </c>
      <c r="AM22" s="265">
        <v>53914</v>
      </c>
      <c r="AN22" s="265">
        <v>566048</v>
      </c>
      <c r="AO22" s="448">
        <v>46023</v>
      </c>
      <c r="AP22" s="448">
        <v>46387</v>
      </c>
      <c r="AQ22" s="115" t="s">
        <v>987</v>
      </c>
    </row>
    <row r="23" spans="1:43" ht="108" customHeight="1">
      <c r="A23" s="451">
        <v>4</v>
      </c>
      <c r="B23" s="443" t="s">
        <v>58</v>
      </c>
      <c r="C23" s="442">
        <v>45</v>
      </c>
      <c r="D23" s="443" t="s">
        <v>851</v>
      </c>
      <c r="E23" s="444" t="s">
        <v>995</v>
      </c>
      <c r="F23" s="441" t="s">
        <v>97</v>
      </c>
      <c r="G23" s="445">
        <v>4502001</v>
      </c>
      <c r="H23" s="441" t="s">
        <v>183</v>
      </c>
      <c r="I23" s="444">
        <v>450200100</v>
      </c>
      <c r="J23" s="441" t="s">
        <v>184</v>
      </c>
      <c r="K23" s="115">
        <v>30</v>
      </c>
      <c r="L23" s="115"/>
      <c r="M23" s="115">
        <v>30</v>
      </c>
      <c r="N23" s="23">
        <v>2024003630031</v>
      </c>
      <c r="O23" s="456" t="s">
        <v>996</v>
      </c>
      <c r="P23" s="457" t="s">
        <v>1014</v>
      </c>
      <c r="Q23" s="455">
        <v>11493069</v>
      </c>
      <c r="R23" s="36"/>
      <c r="S23" s="29"/>
      <c r="T23" s="29"/>
      <c r="U23" s="32">
        <f t="shared" si="0"/>
        <v>11493069</v>
      </c>
      <c r="V23" s="462" t="s">
        <v>1015</v>
      </c>
      <c r="W23" s="23">
        <v>20</v>
      </c>
      <c r="X23" s="28" t="s">
        <v>986</v>
      </c>
      <c r="Y23" s="460">
        <v>293304</v>
      </c>
      <c r="Z23" s="460">
        <v>272744</v>
      </c>
      <c r="AA23" s="460">
        <v>99059</v>
      </c>
      <c r="AB23" s="460">
        <v>36139</v>
      </c>
      <c r="AC23" s="265">
        <v>314186</v>
      </c>
      <c r="AD23" s="265">
        <v>116664</v>
      </c>
      <c r="AE23" s="265">
        <v>3247</v>
      </c>
      <c r="AF23" s="265">
        <v>6804</v>
      </c>
      <c r="AG23" s="265">
        <v>25</v>
      </c>
      <c r="AH23" s="265">
        <v>7</v>
      </c>
      <c r="AI23" s="265">
        <v>0</v>
      </c>
      <c r="AJ23" s="265">
        <v>0</v>
      </c>
      <c r="AK23" s="265">
        <v>50946</v>
      </c>
      <c r="AL23" s="265">
        <v>28554</v>
      </c>
      <c r="AM23" s="265">
        <v>53914</v>
      </c>
      <c r="AN23" s="265">
        <v>566048</v>
      </c>
      <c r="AO23" s="448">
        <v>46023</v>
      </c>
      <c r="AP23" s="448">
        <v>46387</v>
      </c>
      <c r="AQ23" s="115" t="s">
        <v>987</v>
      </c>
    </row>
    <row r="24" spans="1:43" ht="108" customHeight="1">
      <c r="A24" s="451">
        <v>4</v>
      </c>
      <c r="B24" s="443" t="s">
        <v>58</v>
      </c>
      <c r="C24" s="442">
        <v>45</v>
      </c>
      <c r="D24" s="443" t="s">
        <v>851</v>
      </c>
      <c r="E24" s="444" t="s">
        <v>995</v>
      </c>
      <c r="F24" s="441" t="s">
        <v>97</v>
      </c>
      <c r="G24" s="445">
        <v>4502001</v>
      </c>
      <c r="H24" s="441" t="s">
        <v>183</v>
      </c>
      <c r="I24" s="444">
        <v>450200100</v>
      </c>
      <c r="J24" s="441" t="s">
        <v>184</v>
      </c>
      <c r="K24" s="115">
        <v>30</v>
      </c>
      <c r="L24" s="115"/>
      <c r="M24" s="115">
        <v>30</v>
      </c>
      <c r="N24" s="23">
        <v>2024003630031</v>
      </c>
      <c r="O24" s="456" t="s">
        <v>996</v>
      </c>
      <c r="P24" s="457" t="s">
        <v>1016</v>
      </c>
      <c r="Q24" s="463">
        <v>65939328</v>
      </c>
      <c r="R24" s="138"/>
      <c r="S24" s="139"/>
      <c r="T24" s="139"/>
      <c r="U24" s="32">
        <f t="shared" si="0"/>
        <v>65939328</v>
      </c>
      <c r="V24" s="462" t="s">
        <v>1017</v>
      </c>
      <c r="W24" s="23">
        <v>20</v>
      </c>
      <c r="X24" s="28" t="s">
        <v>986</v>
      </c>
      <c r="Y24" s="460">
        <v>293304</v>
      </c>
      <c r="Z24" s="460">
        <v>272744</v>
      </c>
      <c r="AA24" s="460">
        <v>99059</v>
      </c>
      <c r="AB24" s="460">
        <v>36139</v>
      </c>
      <c r="AC24" s="460">
        <v>314186</v>
      </c>
      <c r="AD24" s="460">
        <v>116664</v>
      </c>
      <c r="AE24" s="460">
        <v>3247</v>
      </c>
      <c r="AF24" s="460">
        <v>6804</v>
      </c>
      <c r="AG24" s="460">
        <v>25</v>
      </c>
      <c r="AH24" s="460">
        <v>7</v>
      </c>
      <c r="AI24" s="460">
        <v>0</v>
      </c>
      <c r="AJ24" s="460">
        <v>0</v>
      </c>
      <c r="AK24" s="460">
        <v>50946</v>
      </c>
      <c r="AL24" s="460">
        <v>28554</v>
      </c>
      <c r="AM24" s="460">
        <v>53914</v>
      </c>
      <c r="AN24" s="460">
        <v>566048</v>
      </c>
      <c r="AO24" s="464">
        <v>46023</v>
      </c>
      <c r="AP24" s="464">
        <v>46387</v>
      </c>
      <c r="AQ24" s="115" t="s">
        <v>987</v>
      </c>
    </row>
    <row r="25" spans="1:43" ht="120.75" customHeight="1" thickBot="1">
      <c r="A25" s="451">
        <v>4</v>
      </c>
      <c r="B25" s="443" t="s">
        <v>58</v>
      </c>
      <c r="C25" s="442">
        <v>45</v>
      </c>
      <c r="D25" s="443" t="s">
        <v>851</v>
      </c>
      <c r="E25" s="444" t="s">
        <v>995</v>
      </c>
      <c r="F25" s="441" t="s">
        <v>97</v>
      </c>
      <c r="G25" s="445">
        <v>4502001</v>
      </c>
      <c r="H25" s="441" t="s">
        <v>183</v>
      </c>
      <c r="I25" s="444">
        <v>450200100</v>
      </c>
      <c r="J25" s="441" t="s">
        <v>184</v>
      </c>
      <c r="K25" s="115">
        <v>30</v>
      </c>
      <c r="L25" s="115"/>
      <c r="M25" s="115">
        <v>30</v>
      </c>
      <c r="N25" s="23">
        <v>2024003630031</v>
      </c>
      <c r="O25" s="456" t="s">
        <v>996</v>
      </c>
      <c r="P25" s="457" t="s">
        <v>1018</v>
      </c>
      <c r="Q25" s="455">
        <v>42656288</v>
      </c>
      <c r="R25" s="36"/>
      <c r="S25" s="29"/>
      <c r="T25" s="29"/>
      <c r="U25" s="32">
        <f t="shared" si="0"/>
        <v>42656288</v>
      </c>
      <c r="V25" s="462" t="s">
        <v>1019</v>
      </c>
      <c r="W25" s="23">
        <v>20</v>
      </c>
      <c r="X25" s="28" t="s">
        <v>986</v>
      </c>
      <c r="Y25" s="265">
        <v>293304</v>
      </c>
      <c r="Z25" s="265">
        <v>272744</v>
      </c>
      <c r="AA25" s="265">
        <v>99059</v>
      </c>
      <c r="AB25" s="265">
        <v>36139</v>
      </c>
      <c r="AC25" s="265">
        <v>314186</v>
      </c>
      <c r="AD25" s="265">
        <v>116664</v>
      </c>
      <c r="AE25" s="265">
        <v>3247</v>
      </c>
      <c r="AF25" s="265">
        <v>6804</v>
      </c>
      <c r="AG25" s="265">
        <v>25</v>
      </c>
      <c r="AH25" s="265">
        <v>7</v>
      </c>
      <c r="AI25" s="265">
        <v>0</v>
      </c>
      <c r="AJ25" s="265">
        <v>0</v>
      </c>
      <c r="AK25" s="265">
        <v>50946</v>
      </c>
      <c r="AL25" s="265">
        <v>28554</v>
      </c>
      <c r="AM25" s="265">
        <v>53914</v>
      </c>
      <c r="AN25" s="265">
        <v>566048</v>
      </c>
      <c r="AO25" s="448">
        <v>46023</v>
      </c>
      <c r="AP25" s="448">
        <v>46387</v>
      </c>
      <c r="AQ25" s="115" t="s">
        <v>987</v>
      </c>
    </row>
    <row r="26" spans="1:43" ht="27.6" customHeight="1" thickBot="1">
      <c r="A26" s="20"/>
      <c r="B26" s="21"/>
      <c r="C26" s="49"/>
      <c r="D26" s="49"/>
      <c r="E26" s="21"/>
      <c r="F26" s="21"/>
      <c r="G26" s="21"/>
      <c r="H26" s="21"/>
      <c r="I26" s="21"/>
      <c r="J26" s="21"/>
      <c r="K26" s="21"/>
      <c r="L26" s="21"/>
      <c r="M26" s="21"/>
      <c r="N26" s="21"/>
      <c r="O26" s="21"/>
      <c r="P26" s="465"/>
      <c r="Q26" s="466">
        <f>SUM(Q10:Q25)</f>
        <v>2357158000</v>
      </c>
      <c r="R26" s="467"/>
      <c r="S26" s="467"/>
      <c r="T26" s="467"/>
      <c r="U26" s="467"/>
      <c r="V26" s="21"/>
      <c r="W26" s="21"/>
      <c r="X26" s="21"/>
      <c r="Y26" s="21"/>
      <c r="Z26" s="21"/>
      <c r="AA26" s="21"/>
      <c r="AB26" s="21"/>
      <c r="AC26" s="21"/>
      <c r="AD26" s="21"/>
      <c r="AE26" s="21"/>
      <c r="AF26" s="21"/>
      <c r="AG26" s="21"/>
      <c r="AH26" s="21"/>
      <c r="AI26" s="21"/>
      <c r="AJ26" s="21"/>
      <c r="AK26" s="21"/>
      <c r="AL26" s="21"/>
      <c r="AM26" s="21"/>
      <c r="AN26" s="21"/>
      <c r="AO26" s="21"/>
      <c r="AP26" s="21"/>
      <c r="AQ26" s="22"/>
    </row>
    <row r="27" spans="1:43">
      <c r="W27" s="468"/>
      <c r="X27" s="468"/>
    </row>
    <row r="28" spans="1:43">
      <c r="W28" s="468"/>
      <c r="X28" s="468"/>
    </row>
    <row r="29" spans="1:43">
      <c r="W29" s="468"/>
      <c r="X29" s="468"/>
    </row>
    <row r="30" spans="1:43">
      <c r="W30" s="468"/>
      <c r="X30" s="468"/>
    </row>
    <row r="31" spans="1:43">
      <c r="K31" s="1086" t="s">
        <v>1020</v>
      </c>
      <c r="L31" s="1086"/>
      <c r="M31" s="1086"/>
      <c r="N31" s="1086"/>
      <c r="O31" s="1086"/>
      <c r="P31" s="1086"/>
      <c r="Q31" s="1086"/>
      <c r="R31" s="469"/>
      <c r="S31" s="470"/>
      <c r="T31" s="470"/>
      <c r="U31" s="470"/>
      <c r="W31" s="468"/>
      <c r="X31" s="468"/>
    </row>
    <row r="32" spans="1:43">
      <c r="K32" s="1087" t="s">
        <v>107</v>
      </c>
      <c r="L32" s="1087"/>
      <c r="M32" s="1087"/>
      <c r="N32" s="1087"/>
      <c r="O32" s="1087"/>
      <c r="P32" s="1087"/>
      <c r="Q32" s="1087"/>
      <c r="R32" s="471"/>
      <c r="S32" s="973"/>
      <c r="T32" s="973"/>
      <c r="U32" s="973"/>
    </row>
    <row r="33" spans="7:24">
      <c r="W33" s="468"/>
      <c r="X33" s="468"/>
    </row>
    <row r="34" spans="7:24">
      <c r="W34" s="468"/>
      <c r="X34" s="468"/>
    </row>
    <row r="35" spans="7:24">
      <c r="G35" s="1088" t="s">
        <v>108</v>
      </c>
      <c r="H35" s="1088"/>
      <c r="I35" s="1089" t="s">
        <v>109</v>
      </c>
      <c r="J35" s="1090"/>
      <c r="K35" s="1089" t="s">
        <v>110</v>
      </c>
      <c r="L35" s="1091"/>
      <c r="M35" s="1091"/>
      <c r="N35" s="1090"/>
      <c r="W35" s="468"/>
      <c r="X35" s="468"/>
    </row>
    <row r="36" spans="7:24" ht="31.5" customHeight="1">
      <c r="G36" s="1088" t="s">
        <v>111</v>
      </c>
      <c r="H36" s="1088"/>
      <c r="I36" s="1092" t="s">
        <v>112</v>
      </c>
      <c r="J36" s="1093"/>
      <c r="K36" s="1088" t="s">
        <v>113</v>
      </c>
      <c r="L36" s="1088"/>
      <c r="M36" s="1088"/>
      <c r="N36" s="1088"/>
      <c r="W36" s="468"/>
      <c r="X36" s="468"/>
    </row>
    <row r="37" spans="7:24" ht="25.5" customHeight="1">
      <c r="G37" s="1088" t="s">
        <v>114</v>
      </c>
      <c r="H37" s="1088"/>
      <c r="I37" s="1088" t="s">
        <v>115</v>
      </c>
      <c r="J37" s="1088"/>
      <c r="K37" s="1088" t="s">
        <v>116</v>
      </c>
      <c r="L37" s="1088"/>
      <c r="M37" s="1088"/>
      <c r="N37" s="1088"/>
    </row>
    <row r="38" spans="7:24">
      <c r="G38" s="472"/>
    </row>
  </sheetData>
  <autoFilter ref="A9:BI9" xr:uid="{00000000-0001-0000-0800-000000000000}"/>
  <mergeCells count="32">
    <mergeCell ref="G36:H36"/>
    <mergeCell ref="I36:J36"/>
    <mergeCell ref="K36:N36"/>
    <mergeCell ref="G37:H37"/>
    <mergeCell ref="I37:J37"/>
    <mergeCell ref="K37:N37"/>
    <mergeCell ref="K31:Q31"/>
    <mergeCell ref="K32:Q32"/>
    <mergeCell ref="G35:H35"/>
    <mergeCell ref="I35:J35"/>
    <mergeCell ref="K35:N35"/>
    <mergeCell ref="AP7:AP9"/>
    <mergeCell ref="AQ7:AQ9"/>
    <mergeCell ref="V8:X8"/>
    <mergeCell ref="Y8:Z8"/>
    <mergeCell ref="AA8:AD8"/>
    <mergeCell ref="AE8:AJ8"/>
    <mergeCell ref="AK8:AM8"/>
    <mergeCell ref="AN8:AN9"/>
    <mergeCell ref="Y7:AN7"/>
    <mergeCell ref="A1:B6"/>
    <mergeCell ref="C1:AO1"/>
    <mergeCell ref="C2:AO4"/>
    <mergeCell ref="C5:AO6"/>
    <mergeCell ref="A7:B8"/>
    <mergeCell ref="C7:D8"/>
    <mergeCell ref="E7:F8"/>
    <mergeCell ref="G7:H8"/>
    <mergeCell ref="I7:J8"/>
    <mergeCell ref="K7:M8"/>
    <mergeCell ref="AO7:AO9"/>
    <mergeCell ref="N7:Q8"/>
  </mergeCells>
  <pageMargins left="0.25" right="0.25" top="0.75" bottom="0.75" header="0.3" footer="0.3"/>
  <pageSetup scale="22" fitToHeight="6"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filterMode="1">
    <pageSetUpPr fitToPage="1"/>
  </sheetPr>
  <dimension ref="A1:BI166"/>
  <sheetViews>
    <sheetView topLeftCell="P1" zoomScale="70" zoomScaleNormal="70" zoomScaleSheetLayoutView="70" workbookViewId="0">
      <selection activeCell="O63" sqref="O63"/>
    </sheetView>
  </sheetViews>
  <sheetFormatPr defaultColWidth="3.42578125" defaultRowHeight="15" customHeight="1"/>
  <cols>
    <col min="1" max="1" width="12.28515625" customWidth="1"/>
    <col min="2" max="2" width="22.42578125" customWidth="1"/>
    <col min="3" max="3" width="12.28515625" customWidth="1"/>
    <col min="4" max="4" width="11.42578125" customWidth="1"/>
    <col min="5" max="5" width="12" customWidth="1"/>
    <col min="6" max="6" width="19" customWidth="1"/>
    <col min="7" max="7" width="13.7109375" customWidth="1"/>
    <col min="8" max="8" width="19.140625" customWidth="1"/>
    <col min="9" max="9" width="13.7109375" customWidth="1"/>
    <col min="10" max="10" width="19" customWidth="1"/>
    <col min="11" max="11" width="18.42578125" customWidth="1"/>
    <col min="12" max="13" width="15.7109375" customWidth="1"/>
    <col min="14" max="14" width="17.42578125" customWidth="1"/>
    <col min="15" max="15" width="40" customWidth="1"/>
    <col min="16" max="16" width="38.85546875" customWidth="1"/>
    <col min="17" max="17" width="33.28515625" customWidth="1"/>
    <col min="18" max="18" width="23.42578125" customWidth="1"/>
    <col min="19" max="19" width="25" customWidth="1"/>
    <col min="20" max="21" width="19.85546875" customWidth="1"/>
    <col min="22" max="22" width="57.42578125" bestFit="1" customWidth="1"/>
    <col min="23" max="23" width="10.28515625" bestFit="1" customWidth="1"/>
    <col min="24" max="24" width="33.140625" customWidth="1"/>
    <col min="25" max="25" width="10.7109375" customWidth="1"/>
    <col min="26" max="26" width="11" customWidth="1"/>
    <col min="27" max="27" width="9.28515625" customWidth="1"/>
    <col min="28" max="28" width="7.42578125" customWidth="1"/>
    <col min="29" max="29" width="9.42578125" customWidth="1"/>
    <col min="30" max="30" width="8.42578125" customWidth="1"/>
    <col min="31" max="31" width="9.42578125" customWidth="1"/>
    <col min="32" max="32" width="8.85546875" customWidth="1"/>
    <col min="33" max="33" width="6.7109375" customWidth="1"/>
    <col min="34" max="34" width="6.42578125" customWidth="1"/>
    <col min="35" max="35" width="6.28515625" customWidth="1"/>
    <col min="36" max="36" width="6.42578125" customWidth="1"/>
    <col min="37" max="37" width="11.7109375" customWidth="1"/>
    <col min="38" max="38" width="10.85546875" customWidth="1"/>
    <col min="39" max="39" width="7.28515625" customWidth="1"/>
    <col min="40" max="40" width="11" customWidth="1"/>
    <col min="41" max="41" width="14.28515625" customWidth="1"/>
    <col min="42" max="42" width="14.42578125" customWidth="1"/>
    <col min="43" max="43" width="19.42578125" customWidth="1"/>
  </cols>
  <sheetData>
    <row r="1" spans="1:61">
      <c r="A1" s="1001"/>
      <c r="B1" s="1001"/>
      <c r="C1" s="1002" t="s">
        <v>0</v>
      </c>
      <c r="D1" s="1002"/>
      <c r="E1" s="1002"/>
      <c r="F1" s="1002"/>
      <c r="G1" s="1002"/>
      <c r="H1" s="1002"/>
      <c r="I1" s="1002"/>
      <c r="J1" s="1002"/>
      <c r="K1" s="1002"/>
      <c r="L1" s="1002"/>
      <c r="M1" s="1002"/>
      <c r="N1" s="1002"/>
      <c r="O1" s="1002"/>
      <c r="P1" s="1002"/>
      <c r="Q1" s="1002"/>
      <c r="R1" s="1002"/>
      <c r="S1" s="1002"/>
      <c r="T1" s="1002"/>
      <c r="U1" s="1002"/>
      <c r="V1" s="1002"/>
      <c r="W1" s="1002"/>
      <c r="X1" s="1002"/>
      <c r="Y1" s="1002"/>
      <c r="Z1" s="1002"/>
      <c r="AA1" s="1002"/>
      <c r="AB1" s="1002"/>
      <c r="AC1" s="1002"/>
      <c r="AD1" s="1002"/>
      <c r="AE1" s="1002"/>
      <c r="AF1" s="1002"/>
      <c r="AG1" s="1002"/>
      <c r="AH1" s="1002"/>
      <c r="AI1" s="1002"/>
      <c r="AJ1" s="1002"/>
      <c r="AK1" s="1002"/>
      <c r="AL1" s="1002"/>
      <c r="AM1" s="1002"/>
      <c r="AN1" s="1002"/>
      <c r="AO1" s="1002"/>
    </row>
    <row r="2" spans="1:61" s="2" customFormat="1" ht="14.45" customHeight="1">
      <c r="A2" s="1001"/>
      <c r="B2" s="1001"/>
      <c r="C2" s="1003" t="s">
        <v>1</v>
      </c>
      <c r="D2" s="1003"/>
      <c r="E2" s="1003"/>
      <c r="F2" s="1003"/>
      <c r="G2" s="1003"/>
      <c r="H2" s="1003"/>
      <c r="I2" s="1003"/>
      <c r="J2" s="1003"/>
      <c r="K2" s="1003"/>
      <c r="L2" s="1003"/>
      <c r="M2" s="1003"/>
      <c r="N2" s="1003"/>
      <c r="O2" s="1003"/>
      <c r="P2" s="1003"/>
      <c r="Q2" s="1003"/>
      <c r="R2" s="1003"/>
      <c r="S2" s="1003"/>
      <c r="T2" s="1003"/>
      <c r="U2" s="1003"/>
      <c r="V2" s="1003"/>
      <c r="W2" s="1003"/>
      <c r="X2" s="1003"/>
      <c r="Y2" s="1003"/>
      <c r="Z2" s="1003"/>
      <c r="AA2" s="1003"/>
      <c r="AB2" s="1003"/>
      <c r="AC2" s="1003"/>
      <c r="AD2" s="1003"/>
      <c r="AE2" s="1003"/>
      <c r="AF2" s="1003"/>
      <c r="AG2" s="1003"/>
      <c r="AH2" s="1003"/>
      <c r="AI2" s="1003"/>
      <c r="AJ2" s="1003"/>
      <c r="AK2" s="1003"/>
      <c r="AL2" s="1003"/>
      <c r="AM2" s="1003"/>
      <c r="AN2" s="1003"/>
      <c r="AO2" s="1003"/>
      <c r="AP2" s="25" t="s">
        <v>2</v>
      </c>
      <c r="AQ2" s="154" t="s">
        <v>3</v>
      </c>
      <c r="AR2" s="155"/>
      <c r="AS2" s="155"/>
      <c r="AT2" s="155"/>
      <c r="AU2" s="155"/>
      <c r="AV2" s="155"/>
      <c r="AW2" s="155"/>
      <c r="AX2" s="155"/>
      <c r="AY2" s="155"/>
      <c r="AZ2" s="155"/>
      <c r="BA2" s="155"/>
      <c r="BB2" s="155"/>
      <c r="BC2" s="155"/>
      <c r="BD2" s="155"/>
      <c r="BE2" s="155"/>
      <c r="BF2" s="155"/>
      <c r="BG2" s="155"/>
      <c r="BH2" s="1"/>
      <c r="BI2" s="1"/>
    </row>
    <row r="3" spans="1:61" s="2" customFormat="1" ht="11.25" customHeight="1">
      <c r="A3" s="1001"/>
      <c r="B3" s="1001"/>
      <c r="C3" s="1003"/>
      <c r="D3" s="1003"/>
      <c r="E3" s="1003"/>
      <c r="F3" s="1003"/>
      <c r="G3" s="1003"/>
      <c r="H3" s="1003"/>
      <c r="I3" s="1003"/>
      <c r="J3" s="1003"/>
      <c r="K3" s="1003"/>
      <c r="L3" s="1003"/>
      <c r="M3" s="1003"/>
      <c r="N3" s="1003"/>
      <c r="O3" s="1003"/>
      <c r="P3" s="1003"/>
      <c r="Q3" s="1003"/>
      <c r="R3" s="1003"/>
      <c r="S3" s="1003"/>
      <c r="T3" s="1003"/>
      <c r="U3" s="1003"/>
      <c r="V3" s="1003"/>
      <c r="W3" s="1003"/>
      <c r="X3" s="1003"/>
      <c r="Y3" s="1003"/>
      <c r="Z3" s="1003"/>
      <c r="AA3" s="1003"/>
      <c r="AB3" s="1003"/>
      <c r="AC3" s="1003"/>
      <c r="AD3" s="1003"/>
      <c r="AE3" s="1003"/>
      <c r="AF3" s="1003"/>
      <c r="AG3" s="1003"/>
      <c r="AH3" s="1003"/>
      <c r="AI3" s="1003"/>
      <c r="AJ3" s="1003"/>
      <c r="AK3" s="1003"/>
      <c r="AL3" s="1003"/>
      <c r="AM3" s="1003"/>
      <c r="AN3" s="1003"/>
      <c r="AO3" s="1003"/>
      <c r="AP3" s="42" t="s">
        <v>4</v>
      </c>
      <c r="AQ3" s="156">
        <v>14</v>
      </c>
      <c r="AR3" s="155"/>
      <c r="AS3" s="155"/>
      <c r="AT3" s="155"/>
      <c r="AU3" s="155"/>
      <c r="AV3" s="155"/>
      <c r="AW3" s="155"/>
      <c r="AX3" s="155"/>
      <c r="AY3" s="155"/>
      <c r="AZ3" s="155"/>
      <c r="BA3" s="155"/>
      <c r="BB3" s="155"/>
      <c r="BC3" s="155"/>
      <c r="BD3" s="155"/>
      <c r="BE3" s="155"/>
      <c r="BF3" s="155"/>
      <c r="BG3" s="155"/>
      <c r="BH3" s="1"/>
      <c r="BI3" s="1"/>
    </row>
    <row r="4" spans="1:61" s="2" customFormat="1" ht="18.75" customHeight="1">
      <c r="A4" s="1001"/>
      <c r="B4" s="1001"/>
      <c r="C4" s="1003"/>
      <c r="D4" s="1003"/>
      <c r="E4" s="1003"/>
      <c r="F4" s="1003"/>
      <c r="G4" s="1003"/>
      <c r="H4" s="1003"/>
      <c r="I4" s="1003"/>
      <c r="J4" s="1003"/>
      <c r="K4" s="1003"/>
      <c r="L4" s="1003"/>
      <c r="M4" s="1003"/>
      <c r="N4" s="1003"/>
      <c r="O4" s="1003"/>
      <c r="P4" s="1003"/>
      <c r="Q4" s="1003"/>
      <c r="R4" s="1003"/>
      <c r="S4" s="1003"/>
      <c r="T4" s="1003"/>
      <c r="U4" s="1003"/>
      <c r="V4" s="1003"/>
      <c r="W4" s="1003"/>
      <c r="X4" s="1003"/>
      <c r="Y4" s="1003"/>
      <c r="Z4" s="1003"/>
      <c r="AA4" s="1003"/>
      <c r="AB4" s="1003"/>
      <c r="AC4" s="1003"/>
      <c r="AD4" s="1003"/>
      <c r="AE4" s="1003"/>
      <c r="AF4" s="1003"/>
      <c r="AG4" s="1003"/>
      <c r="AH4" s="1003"/>
      <c r="AI4" s="1003"/>
      <c r="AJ4" s="1003"/>
      <c r="AK4" s="1003"/>
      <c r="AL4" s="1003"/>
      <c r="AM4" s="1003"/>
      <c r="AN4" s="1003"/>
      <c r="AO4" s="1003"/>
      <c r="AP4" s="157" t="s">
        <v>5</v>
      </c>
      <c r="AQ4" s="41">
        <v>45884</v>
      </c>
      <c r="AR4" s="155"/>
      <c r="AS4" s="155"/>
      <c r="AT4" s="155"/>
      <c r="AU4" s="155"/>
      <c r="AV4" s="155"/>
      <c r="AW4" s="155"/>
      <c r="AX4" s="155"/>
      <c r="AY4" s="155"/>
      <c r="AZ4" s="155"/>
      <c r="BA4" s="155"/>
      <c r="BB4" s="155"/>
      <c r="BC4" s="155"/>
      <c r="BD4" s="155"/>
      <c r="BE4" s="155"/>
      <c r="BF4" s="155"/>
      <c r="BG4" s="155"/>
      <c r="BH4" s="1"/>
      <c r="BI4" s="1"/>
    </row>
    <row r="5" spans="1:61" s="2" customFormat="1" ht="12.75">
      <c r="A5" s="1001"/>
      <c r="B5" s="1001"/>
      <c r="C5" s="1004" t="s">
        <v>6</v>
      </c>
      <c r="D5" s="1004"/>
      <c r="E5" s="1004"/>
      <c r="F5" s="1004"/>
      <c r="G5" s="1004"/>
      <c r="H5" s="1004"/>
      <c r="I5" s="1004"/>
      <c r="J5" s="1004"/>
      <c r="K5" s="1004"/>
      <c r="L5" s="1004"/>
      <c r="M5" s="1004"/>
      <c r="N5" s="1004"/>
      <c r="O5" s="1004"/>
      <c r="P5" s="1004"/>
      <c r="Q5" s="1004"/>
      <c r="R5" s="1004"/>
      <c r="S5" s="1004"/>
      <c r="T5" s="1004"/>
      <c r="U5" s="1004"/>
      <c r="V5" s="1004"/>
      <c r="W5" s="1004"/>
      <c r="X5" s="1004"/>
      <c r="Y5" s="1004"/>
      <c r="Z5" s="1004"/>
      <c r="AA5" s="1004"/>
      <c r="AB5" s="1004"/>
      <c r="AC5" s="1004"/>
      <c r="AD5" s="1004"/>
      <c r="AE5" s="1004"/>
      <c r="AF5" s="1004"/>
      <c r="AG5" s="1004"/>
      <c r="AH5" s="1004"/>
      <c r="AI5" s="1004"/>
      <c r="AJ5" s="1004"/>
      <c r="AK5" s="1004"/>
      <c r="AL5" s="1004"/>
      <c r="AM5" s="1004"/>
      <c r="AN5" s="1004"/>
      <c r="AO5" s="1004"/>
      <c r="AP5" s="158" t="s">
        <v>7</v>
      </c>
      <c r="AQ5" s="3" t="s">
        <v>8</v>
      </c>
      <c r="AR5" s="155"/>
      <c r="AS5" s="155"/>
      <c r="AT5" s="155"/>
      <c r="AU5" s="155"/>
      <c r="AV5" s="155"/>
      <c r="AW5" s="155"/>
      <c r="AX5" s="155"/>
      <c r="AY5" s="155"/>
      <c r="AZ5" s="155"/>
      <c r="BA5" s="155"/>
      <c r="BB5" s="155"/>
      <c r="BC5" s="155"/>
      <c r="BD5" s="155"/>
      <c r="BE5" s="155"/>
      <c r="BF5" s="155"/>
      <c r="BG5" s="155"/>
      <c r="BH5" s="1"/>
      <c r="BI5" s="1"/>
    </row>
    <row r="6" spans="1:61" s="2" customFormat="1" ht="12.75">
      <c r="A6" s="1001"/>
      <c r="B6" s="1001"/>
      <c r="C6" s="1005"/>
      <c r="D6" s="1005"/>
      <c r="E6" s="1005"/>
      <c r="F6" s="1005"/>
      <c r="G6" s="1005"/>
      <c r="H6" s="1005"/>
      <c r="I6" s="1005"/>
      <c r="J6" s="1005"/>
      <c r="K6" s="1005"/>
      <c r="L6" s="1005"/>
      <c r="M6" s="1005"/>
      <c r="N6" s="1005"/>
      <c r="O6" s="1005"/>
      <c r="P6" s="1005"/>
      <c r="Q6" s="1005"/>
      <c r="R6" s="1005"/>
      <c r="S6" s="1005"/>
      <c r="T6" s="1005"/>
      <c r="U6" s="1005"/>
      <c r="V6" s="1005"/>
      <c r="W6" s="1005"/>
      <c r="X6" s="1005"/>
      <c r="Y6" s="1005"/>
      <c r="Z6" s="1005"/>
      <c r="AA6" s="1005"/>
      <c r="AB6" s="1005"/>
      <c r="AC6" s="1005"/>
      <c r="AD6" s="1005"/>
      <c r="AE6" s="1005"/>
      <c r="AF6" s="1005"/>
      <c r="AG6" s="1005"/>
      <c r="AH6" s="1005"/>
      <c r="AI6" s="1005"/>
      <c r="AJ6" s="1005"/>
      <c r="AK6" s="1005"/>
      <c r="AL6" s="1005"/>
      <c r="AM6" s="1005"/>
      <c r="AN6" s="1005"/>
      <c r="AO6" s="1005"/>
      <c r="AP6" s="4"/>
      <c r="AQ6" s="159"/>
      <c r="AR6" s="155"/>
      <c r="AS6" s="155"/>
      <c r="AT6" s="155"/>
      <c r="AU6" s="155"/>
      <c r="AV6" s="155"/>
      <c r="AW6" s="155"/>
      <c r="AX6" s="155"/>
      <c r="AY6" s="155"/>
      <c r="AZ6" s="155"/>
      <c r="BA6" s="155"/>
      <c r="BB6" s="155"/>
      <c r="BC6" s="155"/>
      <c r="BD6" s="155"/>
      <c r="BE6" s="155"/>
      <c r="BF6" s="155"/>
      <c r="BG6" s="155"/>
      <c r="BH6" s="1"/>
      <c r="BI6" s="1"/>
    </row>
    <row r="7" spans="1:61" ht="21" customHeight="1">
      <c r="A7" s="1094" t="s">
        <v>9</v>
      </c>
      <c r="B7" s="1094"/>
      <c r="C7" s="1094" t="s">
        <v>10</v>
      </c>
      <c r="D7" s="1094"/>
      <c r="E7" s="1094" t="s">
        <v>11</v>
      </c>
      <c r="F7" s="1094"/>
      <c r="G7" s="1094" t="s">
        <v>12</v>
      </c>
      <c r="H7" s="1094"/>
      <c r="I7" s="1095" t="s">
        <v>13</v>
      </c>
      <c r="J7" s="1095"/>
      <c r="K7" s="1095" t="s">
        <v>14</v>
      </c>
      <c r="L7" s="1095"/>
      <c r="M7" s="1095"/>
      <c r="N7" s="996" t="s">
        <v>15</v>
      </c>
      <c r="O7" s="996"/>
      <c r="P7" s="996"/>
      <c r="Q7" s="996"/>
      <c r="R7" s="160"/>
      <c r="S7" s="962"/>
      <c r="T7" s="962"/>
      <c r="U7" s="962"/>
      <c r="V7" s="161"/>
      <c r="W7" s="161"/>
      <c r="X7" s="161"/>
      <c r="Y7" s="1096" t="s">
        <v>16</v>
      </c>
      <c r="Z7" s="1096"/>
      <c r="AA7" s="1096"/>
      <c r="AB7" s="1096"/>
      <c r="AC7" s="1096"/>
      <c r="AD7" s="1096"/>
      <c r="AE7" s="1096"/>
      <c r="AF7" s="1096"/>
      <c r="AG7" s="1096"/>
      <c r="AH7" s="1096"/>
      <c r="AI7" s="1096"/>
      <c r="AJ7" s="1096"/>
      <c r="AK7" s="1096"/>
      <c r="AL7" s="1096"/>
      <c r="AM7" s="1096"/>
      <c r="AN7" s="1096"/>
      <c r="AO7" s="987" t="s">
        <v>17</v>
      </c>
      <c r="AP7" s="987" t="s">
        <v>18</v>
      </c>
      <c r="AQ7" s="987" t="s">
        <v>19</v>
      </c>
    </row>
    <row r="8" spans="1:61" s="9" customFormat="1" ht="12.75" customHeight="1">
      <c r="A8" s="1094"/>
      <c r="B8" s="1094"/>
      <c r="C8" s="1094"/>
      <c r="D8" s="1094"/>
      <c r="E8" s="1094"/>
      <c r="F8" s="1094"/>
      <c r="G8" s="1094"/>
      <c r="H8" s="1094"/>
      <c r="I8" s="1095"/>
      <c r="J8" s="1095"/>
      <c r="K8" s="1095"/>
      <c r="L8" s="1095"/>
      <c r="M8" s="1095"/>
      <c r="N8" s="996"/>
      <c r="O8" s="996"/>
      <c r="P8" s="996"/>
      <c r="Q8" s="996"/>
      <c r="R8" s="160"/>
      <c r="S8" s="962"/>
      <c r="T8" s="962"/>
      <c r="U8" s="962"/>
      <c r="V8" s="993" t="s">
        <v>20</v>
      </c>
      <c r="W8" s="993"/>
      <c r="X8" s="993"/>
      <c r="Y8" s="993" t="s">
        <v>21</v>
      </c>
      <c r="Z8" s="994"/>
      <c r="AA8" s="995" t="s">
        <v>22</v>
      </c>
      <c r="AB8" s="994"/>
      <c r="AC8" s="994"/>
      <c r="AD8" s="994"/>
      <c r="AE8" s="996" t="s">
        <v>23</v>
      </c>
      <c r="AF8" s="994"/>
      <c r="AG8" s="994"/>
      <c r="AH8" s="994"/>
      <c r="AI8" s="994"/>
      <c r="AJ8" s="994"/>
      <c r="AK8" s="995" t="s">
        <v>24</v>
      </c>
      <c r="AL8" s="994"/>
      <c r="AM8" s="994"/>
      <c r="AN8" s="162" t="s">
        <v>25</v>
      </c>
      <c r="AO8" s="988"/>
      <c r="AP8" s="988"/>
      <c r="AQ8" s="988"/>
      <c r="AR8" s="107"/>
      <c r="AS8" s="107"/>
      <c r="AT8" s="107"/>
      <c r="AU8" s="107"/>
      <c r="AV8" s="107"/>
      <c r="AW8" s="107"/>
      <c r="AX8" s="107"/>
      <c r="AY8" s="107"/>
      <c r="AZ8" s="107"/>
      <c r="BA8" s="107"/>
      <c r="BB8" s="107"/>
      <c r="BC8" s="107"/>
      <c r="BD8" s="107"/>
      <c r="BE8" s="107"/>
      <c r="BF8" s="107"/>
    </row>
    <row r="9" spans="1:61" s="9" customFormat="1" ht="12.75" customHeight="1">
      <c r="A9" s="977"/>
      <c r="B9" s="977"/>
      <c r="C9" s="977"/>
      <c r="D9" s="977"/>
      <c r="E9" s="977"/>
      <c r="F9" s="977"/>
      <c r="G9" s="977"/>
      <c r="H9" s="977"/>
      <c r="I9" s="978"/>
      <c r="J9" s="978"/>
      <c r="K9" s="978"/>
      <c r="L9" s="978"/>
      <c r="M9" s="978"/>
      <c r="N9" s="962"/>
      <c r="O9" s="962"/>
      <c r="P9" s="962"/>
      <c r="Q9" s="163">
        <f>SUBTOTAL(9,Q11:Q153)</f>
        <v>1248836051</v>
      </c>
      <c r="R9" s="160"/>
      <c r="S9" s="962"/>
      <c r="T9" s="962"/>
      <c r="U9" s="962"/>
      <c r="V9" s="960"/>
      <c r="W9" s="960"/>
      <c r="X9" s="960"/>
      <c r="Y9" s="960"/>
      <c r="Z9" s="927"/>
      <c r="AA9" s="961"/>
      <c r="AB9" s="927"/>
      <c r="AC9" s="927"/>
      <c r="AD9" s="927"/>
      <c r="AE9" s="962"/>
      <c r="AF9" s="927"/>
      <c r="AG9" s="927"/>
      <c r="AH9" s="927"/>
      <c r="AI9" s="927"/>
      <c r="AJ9" s="927"/>
      <c r="AK9" s="961"/>
      <c r="AL9" s="927"/>
      <c r="AM9" s="927"/>
      <c r="AN9" s="162"/>
      <c r="AO9" s="988"/>
      <c r="AP9" s="988"/>
      <c r="AQ9" s="988"/>
      <c r="AR9" s="107"/>
      <c r="AS9" s="107"/>
      <c r="AT9" s="107"/>
      <c r="AU9" s="107"/>
      <c r="AV9" s="107"/>
      <c r="AW9" s="107"/>
      <c r="AX9" s="107"/>
      <c r="AY9" s="107"/>
      <c r="AZ9" s="107"/>
      <c r="BA9" s="107"/>
      <c r="BB9" s="107"/>
      <c r="BC9" s="107"/>
      <c r="BD9" s="107"/>
      <c r="BE9" s="107"/>
      <c r="BF9" s="107"/>
    </row>
    <row r="10" spans="1:61" s="16" customFormat="1" ht="41.25" customHeight="1">
      <c r="A10" s="10" t="s">
        <v>26</v>
      </c>
      <c r="B10" s="10" t="s">
        <v>27</v>
      </c>
      <c r="C10" s="10" t="s">
        <v>28</v>
      </c>
      <c r="D10" s="11" t="s">
        <v>29</v>
      </c>
      <c r="E10" s="11" t="s">
        <v>28</v>
      </c>
      <c r="F10" s="11" t="s">
        <v>29</v>
      </c>
      <c r="G10" s="12" t="s">
        <v>26</v>
      </c>
      <c r="H10" s="12" t="s">
        <v>29</v>
      </c>
      <c r="I10" s="12" t="s">
        <v>30</v>
      </c>
      <c r="J10" s="12" t="s">
        <v>31</v>
      </c>
      <c r="K10" s="12" t="s">
        <v>32</v>
      </c>
      <c r="L10" s="12" t="s">
        <v>33</v>
      </c>
      <c r="M10" s="12" t="s">
        <v>25</v>
      </c>
      <c r="N10" s="12" t="s">
        <v>34</v>
      </c>
      <c r="O10" s="12" t="s">
        <v>35</v>
      </c>
      <c r="P10" s="11" t="s">
        <v>36</v>
      </c>
      <c r="Q10" s="13" t="s">
        <v>37</v>
      </c>
      <c r="R10" s="35" t="s">
        <v>38</v>
      </c>
      <c r="S10" s="13" t="s">
        <v>39</v>
      </c>
      <c r="T10" s="13" t="s">
        <v>40</v>
      </c>
      <c r="U10" s="13" t="s">
        <v>41</v>
      </c>
      <c r="V10" s="10" t="s">
        <v>42</v>
      </c>
      <c r="W10" s="11" t="s">
        <v>26</v>
      </c>
      <c r="X10" s="11" t="s">
        <v>27</v>
      </c>
      <c r="Y10" s="14" t="s">
        <v>43</v>
      </c>
      <c r="Z10" s="15" t="s">
        <v>44</v>
      </c>
      <c r="AA10" s="14" t="s">
        <v>45</v>
      </c>
      <c r="AB10" s="14" t="s">
        <v>46</v>
      </c>
      <c r="AC10" s="14" t="s">
        <v>47</v>
      </c>
      <c r="AD10" s="14" t="s">
        <v>48</v>
      </c>
      <c r="AE10" s="14" t="s">
        <v>49</v>
      </c>
      <c r="AF10" s="14" t="s">
        <v>50</v>
      </c>
      <c r="AG10" s="14" t="s">
        <v>51</v>
      </c>
      <c r="AH10" s="14" t="s">
        <v>52</v>
      </c>
      <c r="AI10" s="14" t="s">
        <v>53</v>
      </c>
      <c r="AJ10" s="14" t="s">
        <v>54</v>
      </c>
      <c r="AK10" s="14" t="s">
        <v>55</v>
      </c>
      <c r="AL10" s="14" t="s">
        <v>56</v>
      </c>
      <c r="AM10" s="14" t="s">
        <v>57</v>
      </c>
      <c r="AN10" s="963" t="s">
        <v>25</v>
      </c>
      <c r="AO10" s="989"/>
      <c r="AP10" s="989"/>
      <c r="AQ10" s="989"/>
      <c r="AR10" s="107"/>
      <c r="AS10" s="107"/>
      <c r="AT10" s="107"/>
      <c r="AU10" s="107"/>
      <c r="AV10" s="107"/>
      <c r="AW10" s="107"/>
      <c r="AX10" s="107"/>
      <c r="AY10" s="107"/>
      <c r="AZ10" s="107"/>
      <c r="BA10" s="107"/>
      <c r="BB10" s="107"/>
      <c r="BC10" s="107"/>
      <c r="BD10" s="107"/>
      <c r="BE10" s="107"/>
      <c r="BF10" s="107"/>
    </row>
    <row r="11" spans="1:61" ht="74.25" hidden="1" customHeight="1">
      <c r="A11" s="102">
        <v>1</v>
      </c>
      <c r="B11" s="682" t="s">
        <v>513</v>
      </c>
      <c r="C11" s="102">
        <v>22</v>
      </c>
      <c r="D11" s="102" t="s">
        <v>1021</v>
      </c>
      <c r="E11" s="102">
        <v>2201</v>
      </c>
      <c r="F11" s="682" t="s">
        <v>379</v>
      </c>
      <c r="G11" s="102">
        <v>2201087</v>
      </c>
      <c r="H11" s="682" t="s">
        <v>1022</v>
      </c>
      <c r="I11" s="102">
        <v>220108700</v>
      </c>
      <c r="J11" s="682" t="s">
        <v>1023</v>
      </c>
      <c r="K11" s="115">
        <v>1</v>
      </c>
      <c r="L11" s="115"/>
      <c r="M11" s="115">
        <v>1</v>
      </c>
      <c r="N11" s="101">
        <v>2024003630019</v>
      </c>
      <c r="O11" s="682" t="s">
        <v>1024</v>
      </c>
      <c r="P11" s="683" t="s">
        <v>1025</v>
      </c>
      <c r="Q11" s="139">
        <v>14000000</v>
      </c>
      <c r="R11" s="138">
        <v>11100000</v>
      </c>
      <c r="S11" s="139"/>
      <c r="T11" s="139"/>
      <c r="U11" s="454">
        <f>+Q11-R11+S11-T11</f>
        <v>2900000</v>
      </c>
      <c r="V11" s="612" t="s">
        <v>1026</v>
      </c>
      <c r="W11" s="23" t="s">
        <v>385</v>
      </c>
      <c r="X11" s="28" t="s">
        <v>1027</v>
      </c>
      <c r="Y11" s="612">
        <v>16858</v>
      </c>
      <c r="Z11" s="612">
        <v>17663</v>
      </c>
      <c r="AA11" s="612">
        <v>26731</v>
      </c>
      <c r="AB11" s="612">
        <v>6574</v>
      </c>
      <c r="AC11" s="612">
        <v>877</v>
      </c>
      <c r="AD11" s="612">
        <v>339</v>
      </c>
      <c r="AE11" s="612">
        <v>411</v>
      </c>
      <c r="AF11" s="612">
        <v>333</v>
      </c>
      <c r="AG11" s="612">
        <v>1</v>
      </c>
      <c r="AH11" s="612">
        <v>0</v>
      </c>
      <c r="AI11" s="612">
        <v>0</v>
      </c>
      <c r="AJ11" s="612">
        <v>0</v>
      </c>
      <c r="AK11" s="612">
        <v>0</v>
      </c>
      <c r="AL11" s="612">
        <v>1684</v>
      </c>
      <c r="AM11" s="612">
        <v>4038</v>
      </c>
      <c r="AN11" s="612">
        <f t="shared" ref="AN11:AN18" si="0">SUM(Y11:Z11)</f>
        <v>34521</v>
      </c>
      <c r="AO11" s="106">
        <v>46023</v>
      </c>
      <c r="AP11" s="106">
        <v>46387</v>
      </c>
      <c r="AQ11" s="110" t="s">
        <v>1028</v>
      </c>
    </row>
    <row r="12" spans="1:61" ht="74.25" hidden="1" customHeight="1">
      <c r="A12" s="102">
        <v>1</v>
      </c>
      <c r="B12" s="682" t="s">
        <v>513</v>
      </c>
      <c r="C12" s="102">
        <v>22</v>
      </c>
      <c r="D12" s="102" t="s">
        <v>1021</v>
      </c>
      <c r="E12" s="110">
        <v>2202</v>
      </c>
      <c r="F12" s="682" t="s">
        <v>1029</v>
      </c>
      <c r="G12" s="102">
        <v>2202065</v>
      </c>
      <c r="H12" s="682" t="s">
        <v>1030</v>
      </c>
      <c r="I12" s="102">
        <v>220206500</v>
      </c>
      <c r="J12" s="682" t="s">
        <v>1031</v>
      </c>
      <c r="K12" s="115">
        <v>300</v>
      </c>
      <c r="L12" s="115"/>
      <c r="M12" s="115">
        <v>300</v>
      </c>
      <c r="N12" s="101">
        <v>2024003630020</v>
      </c>
      <c r="O12" s="682" t="s">
        <v>1032</v>
      </c>
      <c r="P12" s="683" t="s">
        <v>1033</v>
      </c>
      <c r="Q12" s="139">
        <v>120000000</v>
      </c>
      <c r="R12" s="138"/>
      <c r="S12" s="139"/>
      <c r="T12" s="139"/>
      <c r="U12" s="454">
        <f t="shared" ref="U12:U83" si="1">+Q12-R12+S12-T12</f>
        <v>120000000</v>
      </c>
      <c r="V12" s="115" t="s">
        <v>1034</v>
      </c>
      <c r="W12" s="23" t="s">
        <v>385</v>
      </c>
      <c r="X12" s="28" t="s">
        <v>1027</v>
      </c>
      <c r="Y12" s="612">
        <v>2208</v>
      </c>
      <c r="Z12" s="612">
        <v>2005</v>
      </c>
      <c r="AA12" s="612">
        <v>375</v>
      </c>
      <c r="AB12" s="612">
        <v>3828</v>
      </c>
      <c r="AC12" s="612">
        <v>10</v>
      </c>
      <c r="AD12" s="612">
        <v>0</v>
      </c>
      <c r="AE12" s="612">
        <v>20</v>
      </c>
      <c r="AF12" s="612">
        <v>49</v>
      </c>
      <c r="AG12" s="612">
        <v>0</v>
      </c>
      <c r="AH12" s="612">
        <v>0</v>
      </c>
      <c r="AI12" s="612">
        <v>0</v>
      </c>
      <c r="AJ12" s="612">
        <v>0</v>
      </c>
      <c r="AK12" s="612">
        <v>0</v>
      </c>
      <c r="AL12" s="612">
        <v>237</v>
      </c>
      <c r="AM12" s="612">
        <v>622</v>
      </c>
      <c r="AN12" s="612">
        <f t="shared" si="0"/>
        <v>4213</v>
      </c>
      <c r="AO12" s="106">
        <v>46023</v>
      </c>
      <c r="AP12" s="106">
        <v>46387</v>
      </c>
      <c r="AQ12" s="110" t="s">
        <v>1028</v>
      </c>
    </row>
    <row r="13" spans="1:61" ht="74.25" hidden="1" customHeight="1">
      <c r="A13" s="102">
        <v>1</v>
      </c>
      <c r="B13" s="682" t="s">
        <v>513</v>
      </c>
      <c r="C13" s="102">
        <v>22</v>
      </c>
      <c r="D13" s="102" t="s">
        <v>1021</v>
      </c>
      <c r="E13" s="110">
        <v>2202</v>
      </c>
      <c r="F13" s="682" t="s">
        <v>1029</v>
      </c>
      <c r="G13" s="102">
        <v>2202065</v>
      </c>
      <c r="H13" s="682" t="s">
        <v>1030</v>
      </c>
      <c r="I13" s="102">
        <v>220206500</v>
      </c>
      <c r="J13" s="682" t="s">
        <v>1031</v>
      </c>
      <c r="K13" s="115">
        <v>300</v>
      </c>
      <c r="L13" s="115"/>
      <c r="M13" s="115">
        <v>300</v>
      </c>
      <c r="N13" s="101">
        <v>2024003630020</v>
      </c>
      <c r="O13" s="682" t="s">
        <v>1032</v>
      </c>
      <c r="P13" s="683" t="s">
        <v>1035</v>
      </c>
      <c r="Q13" s="139">
        <v>233000000</v>
      </c>
      <c r="R13" s="138"/>
      <c r="S13" s="139"/>
      <c r="T13" s="139"/>
      <c r="U13" s="454">
        <f t="shared" si="1"/>
        <v>233000000</v>
      </c>
      <c r="V13" s="115" t="s">
        <v>1034</v>
      </c>
      <c r="W13" s="23" t="s">
        <v>385</v>
      </c>
      <c r="X13" s="28" t="s">
        <v>1027</v>
      </c>
      <c r="Y13" s="612">
        <v>2208</v>
      </c>
      <c r="Z13" s="612">
        <v>2005</v>
      </c>
      <c r="AA13" s="612">
        <v>375</v>
      </c>
      <c r="AB13" s="612">
        <v>3828</v>
      </c>
      <c r="AC13" s="612">
        <v>10</v>
      </c>
      <c r="AD13" s="612">
        <v>0</v>
      </c>
      <c r="AE13" s="612">
        <v>20</v>
      </c>
      <c r="AF13" s="612">
        <v>49</v>
      </c>
      <c r="AG13" s="612">
        <v>0</v>
      </c>
      <c r="AH13" s="612">
        <v>0</v>
      </c>
      <c r="AI13" s="612">
        <v>0</v>
      </c>
      <c r="AJ13" s="612">
        <v>0</v>
      </c>
      <c r="AK13" s="612">
        <v>0</v>
      </c>
      <c r="AL13" s="612">
        <v>237</v>
      </c>
      <c r="AM13" s="612">
        <v>622</v>
      </c>
      <c r="AN13" s="612">
        <f t="shared" si="0"/>
        <v>4213</v>
      </c>
      <c r="AO13" s="106">
        <v>46023</v>
      </c>
      <c r="AP13" s="106">
        <v>46387</v>
      </c>
      <c r="AQ13" s="110" t="s">
        <v>1028</v>
      </c>
    </row>
    <row r="14" spans="1:61" ht="74.25" hidden="1" customHeight="1">
      <c r="A14" s="102">
        <v>1</v>
      </c>
      <c r="B14" s="682" t="s">
        <v>513</v>
      </c>
      <c r="C14" s="102">
        <v>22</v>
      </c>
      <c r="D14" s="102" t="s">
        <v>1021</v>
      </c>
      <c r="E14" s="110">
        <v>2202</v>
      </c>
      <c r="F14" s="682" t="s">
        <v>1029</v>
      </c>
      <c r="G14" s="102">
        <v>2202065</v>
      </c>
      <c r="H14" s="682" t="s">
        <v>1030</v>
      </c>
      <c r="I14" s="102">
        <v>220206500</v>
      </c>
      <c r="J14" s="682" t="s">
        <v>1031</v>
      </c>
      <c r="K14" s="115">
        <v>300</v>
      </c>
      <c r="L14" s="115"/>
      <c r="M14" s="115">
        <v>300</v>
      </c>
      <c r="N14" s="101">
        <v>2024003630020</v>
      </c>
      <c r="O14" s="682" t="s">
        <v>1032</v>
      </c>
      <c r="P14" s="683" t="s">
        <v>1036</v>
      </c>
      <c r="Q14" s="139">
        <v>2280000000</v>
      </c>
      <c r="R14" s="138"/>
      <c r="S14" s="139"/>
      <c r="T14" s="139"/>
      <c r="U14" s="454">
        <f t="shared" si="1"/>
        <v>2280000000</v>
      </c>
      <c r="V14" s="115" t="s">
        <v>1037</v>
      </c>
      <c r="W14" s="23" t="s">
        <v>385</v>
      </c>
      <c r="X14" s="28" t="s">
        <v>1027</v>
      </c>
      <c r="Y14" s="612">
        <v>2208</v>
      </c>
      <c r="Z14" s="612">
        <v>2005</v>
      </c>
      <c r="AA14" s="612">
        <v>375</v>
      </c>
      <c r="AB14" s="612">
        <v>3828</v>
      </c>
      <c r="AC14" s="612">
        <v>10</v>
      </c>
      <c r="AD14" s="612">
        <v>0</v>
      </c>
      <c r="AE14" s="612">
        <v>20</v>
      </c>
      <c r="AF14" s="612">
        <v>49</v>
      </c>
      <c r="AG14" s="612">
        <v>0</v>
      </c>
      <c r="AH14" s="612">
        <v>0</v>
      </c>
      <c r="AI14" s="612">
        <v>0</v>
      </c>
      <c r="AJ14" s="612">
        <v>0</v>
      </c>
      <c r="AK14" s="612">
        <v>0</v>
      </c>
      <c r="AL14" s="612">
        <v>237</v>
      </c>
      <c r="AM14" s="612">
        <v>622</v>
      </c>
      <c r="AN14" s="612">
        <f t="shared" si="0"/>
        <v>4213</v>
      </c>
      <c r="AO14" s="106">
        <v>46023</v>
      </c>
      <c r="AP14" s="106">
        <v>46387</v>
      </c>
      <c r="AQ14" s="110" t="s">
        <v>1028</v>
      </c>
    </row>
    <row r="15" spans="1:61" ht="74.25" hidden="1" customHeight="1">
      <c r="A15" s="102">
        <v>1</v>
      </c>
      <c r="B15" s="682" t="s">
        <v>513</v>
      </c>
      <c r="C15" s="102">
        <v>22</v>
      </c>
      <c r="D15" s="102" t="s">
        <v>1021</v>
      </c>
      <c r="E15" s="110">
        <v>2202</v>
      </c>
      <c r="F15" s="682" t="s">
        <v>1029</v>
      </c>
      <c r="G15" s="102">
        <v>2202065</v>
      </c>
      <c r="H15" s="682" t="s">
        <v>1030</v>
      </c>
      <c r="I15" s="102">
        <v>220206500</v>
      </c>
      <c r="J15" s="682" t="s">
        <v>1031</v>
      </c>
      <c r="K15" s="115">
        <v>300</v>
      </c>
      <c r="L15" s="115"/>
      <c r="M15" s="115">
        <v>300</v>
      </c>
      <c r="N15" s="101">
        <v>2024003630020</v>
      </c>
      <c r="O15" s="682" t="s">
        <v>1032</v>
      </c>
      <c r="P15" s="683" t="s">
        <v>1038</v>
      </c>
      <c r="Q15" s="139">
        <v>1100000000</v>
      </c>
      <c r="R15" s="138"/>
      <c r="S15" s="139"/>
      <c r="T15" s="139"/>
      <c r="U15" s="454">
        <f t="shared" si="1"/>
        <v>1100000000</v>
      </c>
      <c r="V15" s="115" t="s">
        <v>1039</v>
      </c>
      <c r="W15" s="684" t="s">
        <v>131</v>
      </c>
      <c r="X15" s="28" t="s">
        <v>1040</v>
      </c>
      <c r="Y15" s="612">
        <v>2208</v>
      </c>
      <c r="Z15" s="612">
        <v>2005</v>
      </c>
      <c r="AA15" s="612">
        <v>375</v>
      </c>
      <c r="AB15" s="612">
        <v>3828</v>
      </c>
      <c r="AC15" s="612">
        <v>10</v>
      </c>
      <c r="AD15" s="612">
        <v>0</v>
      </c>
      <c r="AE15" s="612">
        <v>20</v>
      </c>
      <c r="AF15" s="612">
        <v>49</v>
      </c>
      <c r="AG15" s="612">
        <v>0</v>
      </c>
      <c r="AH15" s="612">
        <v>0</v>
      </c>
      <c r="AI15" s="612">
        <v>0</v>
      </c>
      <c r="AJ15" s="612">
        <v>0</v>
      </c>
      <c r="AK15" s="612">
        <v>0</v>
      </c>
      <c r="AL15" s="612">
        <v>237</v>
      </c>
      <c r="AM15" s="612">
        <v>622</v>
      </c>
      <c r="AN15" s="612">
        <f>SUM(Y15:Z15)</f>
        <v>4213</v>
      </c>
      <c r="AO15" s="106">
        <v>46023</v>
      </c>
      <c r="AP15" s="106">
        <v>46387</v>
      </c>
      <c r="AQ15" s="110" t="s">
        <v>1028</v>
      </c>
    </row>
    <row r="16" spans="1:61" ht="74.25" hidden="1" customHeight="1">
      <c r="A16" s="102">
        <v>1</v>
      </c>
      <c r="B16" s="682" t="s">
        <v>513</v>
      </c>
      <c r="C16" s="102">
        <v>22</v>
      </c>
      <c r="D16" s="102" t="s">
        <v>1021</v>
      </c>
      <c r="E16" s="110">
        <v>2202</v>
      </c>
      <c r="F16" s="682" t="s">
        <v>1029</v>
      </c>
      <c r="G16" s="102">
        <v>2202065</v>
      </c>
      <c r="H16" s="682" t="s">
        <v>1030</v>
      </c>
      <c r="I16" s="102">
        <v>220206500</v>
      </c>
      <c r="J16" s="682" t="s">
        <v>1031</v>
      </c>
      <c r="K16" s="115">
        <v>300</v>
      </c>
      <c r="L16" s="115"/>
      <c r="M16" s="115">
        <v>300</v>
      </c>
      <c r="N16" s="101">
        <v>2024003630020</v>
      </c>
      <c r="O16" s="682" t="s">
        <v>1032</v>
      </c>
      <c r="P16" s="683" t="s">
        <v>1041</v>
      </c>
      <c r="Q16" s="139">
        <v>140000000</v>
      </c>
      <c r="R16" s="138"/>
      <c r="S16" s="139"/>
      <c r="T16" s="139"/>
      <c r="U16" s="454">
        <f t="shared" si="1"/>
        <v>140000000</v>
      </c>
      <c r="V16" s="115" t="s">
        <v>1034</v>
      </c>
      <c r="W16" s="23" t="s">
        <v>385</v>
      </c>
      <c r="X16" s="28" t="s">
        <v>1027</v>
      </c>
      <c r="Y16" s="612">
        <v>2208</v>
      </c>
      <c r="Z16" s="612">
        <v>2005</v>
      </c>
      <c r="AA16" s="612">
        <v>375</v>
      </c>
      <c r="AB16" s="612">
        <v>3828</v>
      </c>
      <c r="AC16" s="612">
        <v>10</v>
      </c>
      <c r="AD16" s="612">
        <v>0</v>
      </c>
      <c r="AE16" s="612">
        <v>20</v>
      </c>
      <c r="AF16" s="612">
        <v>49</v>
      </c>
      <c r="AG16" s="612">
        <v>0</v>
      </c>
      <c r="AH16" s="612">
        <v>0</v>
      </c>
      <c r="AI16" s="612">
        <v>0</v>
      </c>
      <c r="AJ16" s="612">
        <v>0</v>
      </c>
      <c r="AK16" s="612">
        <v>0</v>
      </c>
      <c r="AL16" s="612">
        <v>237</v>
      </c>
      <c r="AM16" s="612">
        <v>622</v>
      </c>
      <c r="AN16" s="612">
        <f t="shared" si="0"/>
        <v>4213</v>
      </c>
      <c r="AO16" s="106">
        <v>46023</v>
      </c>
      <c r="AP16" s="106">
        <v>46387</v>
      </c>
      <c r="AQ16" s="110" t="s">
        <v>1028</v>
      </c>
    </row>
    <row r="17" spans="1:43" ht="74.25" hidden="1" customHeight="1">
      <c r="A17" s="102">
        <v>1</v>
      </c>
      <c r="B17" s="682" t="s">
        <v>513</v>
      </c>
      <c r="C17" s="102">
        <v>22</v>
      </c>
      <c r="D17" s="102" t="s">
        <v>1021</v>
      </c>
      <c r="E17" s="110">
        <v>2202</v>
      </c>
      <c r="F17" s="682" t="s">
        <v>1029</v>
      </c>
      <c r="G17" s="102">
        <v>2202065</v>
      </c>
      <c r="H17" s="682" t="s">
        <v>1030</v>
      </c>
      <c r="I17" s="102">
        <v>220206500</v>
      </c>
      <c r="J17" s="682" t="s">
        <v>1031</v>
      </c>
      <c r="K17" s="115">
        <v>300</v>
      </c>
      <c r="L17" s="115"/>
      <c r="M17" s="115">
        <v>300</v>
      </c>
      <c r="N17" s="101">
        <v>2024003630020</v>
      </c>
      <c r="O17" s="682" t="s">
        <v>1032</v>
      </c>
      <c r="P17" s="683" t="s">
        <v>1042</v>
      </c>
      <c r="Q17" s="139">
        <v>17000000</v>
      </c>
      <c r="R17" s="138"/>
      <c r="S17" s="139"/>
      <c r="T17" s="139"/>
      <c r="U17" s="454">
        <f t="shared" si="1"/>
        <v>17000000</v>
      </c>
      <c r="V17" s="115" t="s">
        <v>1043</v>
      </c>
      <c r="W17" s="23" t="s">
        <v>385</v>
      </c>
      <c r="X17" s="28" t="s">
        <v>1027</v>
      </c>
      <c r="Y17" s="612">
        <v>2208</v>
      </c>
      <c r="Z17" s="612">
        <v>2005</v>
      </c>
      <c r="AA17" s="612">
        <v>375</v>
      </c>
      <c r="AB17" s="612">
        <v>3828</v>
      </c>
      <c r="AC17" s="612">
        <v>10</v>
      </c>
      <c r="AD17" s="612">
        <v>0</v>
      </c>
      <c r="AE17" s="612">
        <v>20</v>
      </c>
      <c r="AF17" s="612">
        <v>49</v>
      </c>
      <c r="AG17" s="612">
        <v>0</v>
      </c>
      <c r="AH17" s="612">
        <v>0</v>
      </c>
      <c r="AI17" s="612">
        <v>0</v>
      </c>
      <c r="AJ17" s="612">
        <v>0</v>
      </c>
      <c r="AK17" s="612">
        <v>0</v>
      </c>
      <c r="AL17" s="612">
        <v>237</v>
      </c>
      <c r="AM17" s="612">
        <v>622</v>
      </c>
      <c r="AN17" s="612">
        <f t="shared" si="0"/>
        <v>4213</v>
      </c>
      <c r="AO17" s="106">
        <v>46023</v>
      </c>
      <c r="AP17" s="106">
        <v>46387</v>
      </c>
      <c r="AQ17" s="110" t="s">
        <v>1028</v>
      </c>
    </row>
    <row r="18" spans="1:43" ht="74.25" customHeight="1">
      <c r="A18" s="102">
        <v>1</v>
      </c>
      <c r="B18" s="682" t="s">
        <v>513</v>
      </c>
      <c r="C18" s="102">
        <v>22</v>
      </c>
      <c r="D18" s="102" t="s">
        <v>1021</v>
      </c>
      <c r="E18" s="102">
        <v>2201</v>
      </c>
      <c r="F18" s="682" t="s">
        <v>379</v>
      </c>
      <c r="G18" s="102">
        <v>2201006</v>
      </c>
      <c r="H18" s="682" t="s">
        <v>1044</v>
      </c>
      <c r="I18" s="102">
        <v>220100600</v>
      </c>
      <c r="J18" s="682" t="s">
        <v>1045</v>
      </c>
      <c r="K18" s="115">
        <v>54</v>
      </c>
      <c r="L18" s="115"/>
      <c r="M18" s="115">
        <v>54</v>
      </c>
      <c r="N18" s="101">
        <v>2024003630022</v>
      </c>
      <c r="O18" s="682" t="s">
        <v>1046</v>
      </c>
      <c r="P18" s="145" t="s">
        <v>1047</v>
      </c>
      <c r="Q18" s="138">
        <v>34200000</v>
      </c>
      <c r="R18" s="138"/>
      <c r="S18" s="139"/>
      <c r="T18" s="139"/>
      <c r="U18" s="842">
        <f t="shared" si="1"/>
        <v>34200000</v>
      </c>
      <c r="V18" s="458" t="s">
        <v>1048</v>
      </c>
      <c r="W18" s="23" t="s">
        <v>385</v>
      </c>
      <c r="X18" s="28" t="s">
        <v>1027</v>
      </c>
      <c r="Y18" s="612">
        <v>16858</v>
      </c>
      <c r="Z18" s="612">
        <v>17663</v>
      </c>
      <c r="AA18" s="612">
        <v>26731</v>
      </c>
      <c r="AB18" s="612">
        <v>6574</v>
      </c>
      <c r="AC18" s="612">
        <v>877</v>
      </c>
      <c r="AD18" s="612">
        <v>339</v>
      </c>
      <c r="AE18" s="612">
        <v>411</v>
      </c>
      <c r="AF18" s="612">
        <v>333</v>
      </c>
      <c r="AG18" s="612">
        <v>1</v>
      </c>
      <c r="AH18" s="612">
        <v>0</v>
      </c>
      <c r="AI18" s="612">
        <v>0</v>
      </c>
      <c r="AJ18" s="612">
        <v>0</v>
      </c>
      <c r="AK18" s="612">
        <v>0</v>
      </c>
      <c r="AL18" s="612">
        <v>1684</v>
      </c>
      <c r="AM18" s="612">
        <v>4038</v>
      </c>
      <c r="AN18" s="612">
        <f t="shared" si="0"/>
        <v>34521</v>
      </c>
      <c r="AO18" s="106">
        <v>46023</v>
      </c>
      <c r="AP18" s="106">
        <v>46387</v>
      </c>
      <c r="AQ18" s="110" t="s">
        <v>1028</v>
      </c>
    </row>
    <row r="19" spans="1:43" ht="74.25" customHeight="1">
      <c r="A19" s="102">
        <v>1</v>
      </c>
      <c r="B19" s="682" t="s">
        <v>513</v>
      </c>
      <c r="C19" s="102">
        <v>22</v>
      </c>
      <c r="D19" s="102" t="s">
        <v>1021</v>
      </c>
      <c r="E19" s="102">
        <v>2201</v>
      </c>
      <c r="F19" s="682" t="s">
        <v>379</v>
      </c>
      <c r="G19" s="102">
        <v>2201006</v>
      </c>
      <c r="H19" s="682" t="s">
        <v>1044</v>
      </c>
      <c r="I19" s="102">
        <v>220100600</v>
      </c>
      <c r="J19" s="682" t="s">
        <v>1045</v>
      </c>
      <c r="K19" s="115">
        <v>54</v>
      </c>
      <c r="L19" s="115"/>
      <c r="M19" s="115">
        <v>54</v>
      </c>
      <c r="N19" s="101">
        <v>2024003630022</v>
      </c>
      <c r="O19" s="682" t="s">
        <v>1046</v>
      </c>
      <c r="P19" s="145" t="s">
        <v>1049</v>
      </c>
      <c r="Q19" s="670">
        <v>34200000</v>
      </c>
      <c r="R19" s="138"/>
      <c r="S19" s="139"/>
      <c r="T19" s="139"/>
      <c r="U19" s="842">
        <f t="shared" si="1"/>
        <v>34200000</v>
      </c>
      <c r="V19" s="458" t="s">
        <v>1048</v>
      </c>
      <c r="W19" s="23" t="s">
        <v>385</v>
      </c>
      <c r="X19" s="28" t="s">
        <v>1027</v>
      </c>
      <c r="Y19" s="612">
        <v>16858</v>
      </c>
      <c r="Z19" s="612">
        <v>17663</v>
      </c>
      <c r="AA19" s="612">
        <v>26731</v>
      </c>
      <c r="AB19" s="612">
        <v>6574</v>
      </c>
      <c r="AC19" s="612">
        <v>877</v>
      </c>
      <c r="AD19" s="612">
        <v>339</v>
      </c>
      <c r="AE19" s="612">
        <v>411</v>
      </c>
      <c r="AF19" s="612">
        <v>333</v>
      </c>
      <c r="AG19" s="612">
        <v>1</v>
      </c>
      <c r="AH19" s="612">
        <v>0</v>
      </c>
      <c r="AI19" s="612">
        <v>0</v>
      </c>
      <c r="AJ19" s="612">
        <v>0</v>
      </c>
      <c r="AK19" s="612">
        <v>0</v>
      </c>
      <c r="AL19" s="612">
        <v>1684</v>
      </c>
      <c r="AM19" s="612">
        <v>4038</v>
      </c>
      <c r="AN19" s="612">
        <f t="shared" ref="AN19:AN90" si="2">SUM(Y19:Z19)</f>
        <v>34521</v>
      </c>
      <c r="AO19" s="106">
        <v>46023</v>
      </c>
      <c r="AP19" s="106">
        <v>46387</v>
      </c>
      <c r="AQ19" s="110" t="s">
        <v>1028</v>
      </c>
    </row>
    <row r="20" spans="1:43" ht="74.25" customHeight="1">
      <c r="A20" s="102">
        <v>1</v>
      </c>
      <c r="B20" s="682" t="s">
        <v>513</v>
      </c>
      <c r="C20" s="102">
        <v>22</v>
      </c>
      <c r="D20" s="102" t="s">
        <v>1021</v>
      </c>
      <c r="E20" s="102">
        <v>2201</v>
      </c>
      <c r="F20" s="682" t="s">
        <v>379</v>
      </c>
      <c r="G20" s="102">
        <v>2201006</v>
      </c>
      <c r="H20" s="682" t="s">
        <v>1044</v>
      </c>
      <c r="I20" s="102">
        <v>220100600</v>
      </c>
      <c r="J20" s="682" t="s">
        <v>1045</v>
      </c>
      <c r="K20" s="115">
        <v>54</v>
      </c>
      <c r="L20" s="115"/>
      <c r="M20" s="115">
        <v>54</v>
      </c>
      <c r="N20" s="101">
        <v>2024003630022</v>
      </c>
      <c r="O20" s="682" t="s">
        <v>1046</v>
      </c>
      <c r="P20" s="145" t="s">
        <v>1050</v>
      </c>
      <c r="Q20" s="670">
        <v>10000000</v>
      </c>
      <c r="R20" s="138"/>
      <c r="S20" s="139"/>
      <c r="T20" s="139"/>
      <c r="U20" s="842">
        <f t="shared" si="1"/>
        <v>10000000</v>
      </c>
      <c r="V20" s="458" t="s">
        <v>1051</v>
      </c>
      <c r="W20" s="23" t="s">
        <v>385</v>
      </c>
      <c r="X20" s="28" t="s">
        <v>1027</v>
      </c>
      <c r="Y20" s="612">
        <v>16858</v>
      </c>
      <c r="Z20" s="612">
        <v>17663</v>
      </c>
      <c r="AA20" s="612">
        <v>26731</v>
      </c>
      <c r="AB20" s="612">
        <v>6574</v>
      </c>
      <c r="AC20" s="612">
        <v>877</v>
      </c>
      <c r="AD20" s="612">
        <v>339</v>
      </c>
      <c r="AE20" s="612">
        <v>411</v>
      </c>
      <c r="AF20" s="612">
        <v>333</v>
      </c>
      <c r="AG20" s="612">
        <v>1</v>
      </c>
      <c r="AH20" s="612">
        <v>0</v>
      </c>
      <c r="AI20" s="612">
        <v>0</v>
      </c>
      <c r="AJ20" s="612">
        <v>0</v>
      </c>
      <c r="AK20" s="612">
        <v>0</v>
      </c>
      <c r="AL20" s="612">
        <v>1684</v>
      </c>
      <c r="AM20" s="612">
        <v>4038</v>
      </c>
      <c r="AN20" s="612">
        <f t="shared" si="2"/>
        <v>34521</v>
      </c>
      <c r="AO20" s="106">
        <v>46023</v>
      </c>
      <c r="AP20" s="106">
        <v>46387</v>
      </c>
      <c r="AQ20" s="110" t="s">
        <v>1028</v>
      </c>
    </row>
    <row r="21" spans="1:43" ht="74.25" customHeight="1">
      <c r="A21" s="102">
        <v>1</v>
      </c>
      <c r="B21" s="682" t="s">
        <v>513</v>
      </c>
      <c r="C21" s="102">
        <v>22</v>
      </c>
      <c r="D21" s="102" t="s">
        <v>1021</v>
      </c>
      <c r="E21" s="102">
        <v>2201</v>
      </c>
      <c r="F21" s="682" t="s">
        <v>379</v>
      </c>
      <c r="G21" s="102">
        <v>2201006</v>
      </c>
      <c r="H21" s="682" t="s">
        <v>1044</v>
      </c>
      <c r="I21" s="102">
        <v>220100600</v>
      </c>
      <c r="J21" s="682" t="s">
        <v>1045</v>
      </c>
      <c r="K21" s="115">
        <v>54</v>
      </c>
      <c r="L21" s="115"/>
      <c r="M21" s="115">
        <v>54</v>
      </c>
      <c r="N21" s="101">
        <v>2024003630022</v>
      </c>
      <c r="O21" s="682" t="s">
        <v>1046</v>
      </c>
      <c r="P21" s="145" t="s">
        <v>1052</v>
      </c>
      <c r="Q21" s="670">
        <v>34200000</v>
      </c>
      <c r="R21" s="138">
        <v>14800000</v>
      </c>
      <c r="S21" s="139"/>
      <c r="T21" s="139"/>
      <c r="U21" s="842">
        <f t="shared" si="1"/>
        <v>19400000</v>
      </c>
      <c r="V21" s="458" t="s">
        <v>1048</v>
      </c>
      <c r="W21" s="23" t="s">
        <v>385</v>
      </c>
      <c r="X21" s="28" t="s">
        <v>1027</v>
      </c>
      <c r="Y21" s="612">
        <v>16858</v>
      </c>
      <c r="Z21" s="612">
        <v>17663</v>
      </c>
      <c r="AA21" s="612">
        <v>26731</v>
      </c>
      <c r="AB21" s="612">
        <v>6574</v>
      </c>
      <c r="AC21" s="612">
        <v>877</v>
      </c>
      <c r="AD21" s="612">
        <v>339</v>
      </c>
      <c r="AE21" s="612">
        <v>411</v>
      </c>
      <c r="AF21" s="612">
        <v>333</v>
      </c>
      <c r="AG21" s="612">
        <v>1</v>
      </c>
      <c r="AH21" s="612">
        <v>0</v>
      </c>
      <c r="AI21" s="612">
        <v>0</v>
      </c>
      <c r="AJ21" s="612">
        <v>0</v>
      </c>
      <c r="AK21" s="612">
        <v>0</v>
      </c>
      <c r="AL21" s="612">
        <v>1684</v>
      </c>
      <c r="AM21" s="612">
        <v>4038</v>
      </c>
      <c r="AN21" s="612">
        <f t="shared" si="2"/>
        <v>34521</v>
      </c>
      <c r="AO21" s="106">
        <v>46023</v>
      </c>
      <c r="AP21" s="106">
        <v>46387</v>
      </c>
      <c r="AQ21" s="110" t="s">
        <v>1028</v>
      </c>
    </row>
    <row r="22" spans="1:43" ht="74.25" customHeight="1">
      <c r="A22" s="102">
        <v>1</v>
      </c>
      <c r="B22" s="682" t="s">
        <v>513</v>
      </c>
      <c r="C22" s="102">
        <v>22</v>
      </c>
      <c r="D22" s="102" t="s">
        <v>1021</v>
      </c>
      <c r="E22" s="102">
        <v>2201</v>
      </c>
      <c r="F22" s="682" t="s">
        <v>379</v>
      </c>
      <c r="G22" s="102">
        <v>2201006</v>
      </c>
      <c r="H22" s="682" t="s">
        <v>1044</v>
      </c>
      <c r="I22" s="102">
        <v>220100600</v>
      </c>
      <c r="J22" s="682" t="s">
        <v>1045</v>
      </c>
      <c r="K22" s="115">
        <v>54</v>
      </c>
      <c r="L22" s="115"/>
      <c r="M22" s="115">
        <v>54</v>
      </c>
      <c r="N22" s="101">
        <v>2024003630022</v>
      </c>
      <c r="O22" s="682" t="s">
        <v>1046</v>
      </c>
      <c r="P22" s="145" t="s">
        <v>1053</v>
      </c>
      <c r="Q22" s="670">
        <v>34200000</v>
      </c>
      <c r="R22" s="138"/>
      <c r="S22" s="139"/>
      <c r="T22" s="139"/>
      <c r="U22" s="842">
        <f t="shared" si="1"/>
        <v>34200000</v>
      </c>
      <c r="V22" s="458" t="s">
        <v>1048</v>
      </c>
      <c r="W22" s="23" t="s">
        <v>385</v>
      </c>
      <c r="X22" s="28" t="s">
        <v>1027</v>
      </c>
      <c r="Y22" s="612">
        <v>16858</v>
      </c>
      <c r="Z22" s="612">
        <v>17663</v>
      </c>
      <c r="AA22" s="612">
        <v>26731</v>
      </c>
      <c r="AB22" s="612">
        <v>6574</v>
      </c>
      <c r="AC22" s="612">
        <v>877</v>
      </c>
      <c r="AD22" s="612">
        <v>339</v>
      </c>
      <c r="AE22" s="612">
        <v>411</v>
      </c>
      <c r="AF22" s="612">
        <v>333</v>
      </c>
      <c r="AG22" s="612">
        <v>1</v>
      </c>
      <c r="AH22" s="612">
        <v>0</v>
      </c>
      <c r="AI22" s="612">
        <v>0</v>
      </c>
      <c r="AJ22" s="612">
        <v>0</v>
      </c>
      <c r="AK22" s="612">
        <v>0</v>
      </c>
      <c r="AL22" s="612">
        <v>1684</v>
      </c>
      <c r="AM22" s="612">
        <v>4038</v>
      </c>
      <c r="AN22" s="612">
        <f t="shared" si="2"/>
        <v>34521</v>
      </c>
      <c r="AO22" s="106">
        <v>46023</v>
      </c>
      <c r="AP22" s="106">
        <v>46387</v>
      </c>
      <c r="AQ22" s="110" t="s">
        <v>1028</v>
      </c>
    </row>
    <row r="23" spans="1:43" ht="74.25" customHeight="1">
      <c r="A23" s="102">
        <v>1</v>
      </c>
      <c r="B23" s="682" t="s">
        <v>513</v>
      </c>
      <c r="C23" s="102">
        <v>22</v>
      </c>
      <c r="D23" s="102" t="s">
        <v>1021</v>
      </c>
      <c r="E23" s="102">
        <v>2201</v>
      </c>
      <c r="F23" s="682" t="s">
        <v>379</v>
      </c>
      <c r="G23" s="102">
        <v>2201006</v>
      </c>
      <c r="H23" s="682" t="s">
        <v>1044</v>
      </c>
      <c r="I23" s="102">
        <v>220100600</v>
      </c>
      <c r="J23" s="682" t="s">
        <v>1045</v>
      </c>
      <c r="K23" s="115">
        <v>54</v>
      </c>
      <c r="L23" s="115"/>
      <c r="M23" s="115">
        <v>54</v>
      </c>
      <c r="N23" s="101">
        <v>2024003630022</v>
      </c>
      <c r="O23" s="682" t="s">
        <v>1046</v>
      </c>
      <c r="P23" s="145" t="s">
        <v>1054</v>
      </c>
      <c r="Q23" s="670">
        <v>10000000</v>
      </c>
      <c r="R23" s="138"/>
      <c r="S23" s="139"/>
      <c r="T23" s="139"/>
      <c r="U23" s="842">
        <f t="shared" si="1"/>
        <v>10000000</v>
      </c>
      <c r="V23" s="458" t="s">
        <v>1051</v>
      </c>
      <c r="W23" s="23" t="s">
        <v>385</v>
      </c>
      <c r="X23" s="28" t="s">
        <v>1027</v>
      </c>
      <c r="Y23" s="612">
        <v>16858</v>
      </c>
      <c r="Z23" s="612">
        <v>17663</v>
      </c>
      <c r="AA23" s="612">
        <v>26731</v>
      </c>
      <c r="AB23" s="612">
        <v>6574</v>
      </c>
      <c r="AC23" s="612">
        <v>877</v>
      </c>
      <c r="AD23" s="612">
        <v>339</v>
      </c>
      <c r="AE23" s="612">
        <v>411</v>
      </c>
      <c r="AF23" s="612">
        <v>333</v>
      </c>
      <c r="AG23" s="612">
        <v>1</v>
      </c>
      <c r="AH23" s="612">
        <v>0</v>
      </c>
      <c r="AI23" s="612">
        <v>0</v>
      </c>
      <c r="AJ23" s="612">
        <v>0</v>
      </c>
      <c r="AK23" s="612">
        <v>0</v>
      </c>
      <c r="AL23" s="612">
        <v>1684</v>
      </c>
      <c r="AM23" s="612">
        <v>4038</v>
      </c>
      <c r="AN23" s="612">
        <f t="shared" si="2"/>
        <v>34521</v>
      </c>
      <c r="AO23" s="106">
        <v>46023</v>
      </c>
      <c r="AP23" s="106">
        <v>46387</v>
      </c>
      <c r="AQ23" s="110" t="s">
        <v>1028</v>
      </c>
    </row>
    <row r="24" spans="1:43" ht="74.25" customHeight="1">
      <c r="A24" s="102">
        <v>1</v>
      </c>
      <c r="B24" s="682" t="s">
        <v>513</v>
      </c>
      <c r="C24" s="102">
        <v>22</v>
      </c>
      <c r="D24" s="102" t="s">
        <v>1021</v>
      </c>
      <c r="E24" s="102">
        <v>2201</v>
      </c>
      <c r="F24" s="682" t="s">
        <v>379</v>
      </c>
      <c r="G24" s="102">
        <v>2201006</v>
      </c>
      <c r="H24" s="682" t="s">
        <v>1044</v>
      </c>
      <c r="I24" s="102">
        <v>220100600</v>
      </c>
      <c r="J24" s="682" t="s">
        <v>1045</v>
      </c>
      <c r="K24" s="115">
        <v>54</v>
      </c>
      <c r="L24" s="115"/>
      <c r="M24" s="115">
        <v>54</v>
      </c>
      <c r="N24" s="101">
        <v>2024003630022</v>
      </c>
      <c r="O24" s="682" t="s">
        <v>1046</v>
      </c>
      <c r="P24" s="145" t="s">
        <v>1055</v>
      </c>
      <c r="Q24" s="670">
        <v>34200000</v>
      </c>
      <c r="R24" s="138"/>
      <c r="S24" s="139"/>
      <c r="T24" s="139"/>
      <c r="U24" s="842">
        <f t="shared" si="1"/>
        <v>34200000</v>
      </c>
      <c r="V24" s="458" t="s">
        <v>1048</v>
      </c>
      <c r="W24" s="23" t="s">
        <v>385</v>
      </c>
      <c r="X24" s="28" t="s">
        <v>1027</v>
      </c>
      <c r="Y24" s="612">
        <v>16858</v>
      </c>
      <c r="Z24" s="612">
        <v>17663</v>
      </c>
      <c r="AA24" s="612">
        <v>26731</v>
      </c>
      <c r="AB24" s="612">
        <v>6574</v>
      </c>
      <c r="AC24" s="612">
        <v>877</v>
      </c>
      <c r="AD24" s="612">
        <v>339</v>
      </c>
      <c r="AE24" s="612">
        <v>411</v>
      </c>
      <c r="AF24" s="612">
        <v>333</v>
      </c>
      <c r="AG24" s="612">
        <v>1</v>
      </c>
      <c r="AH24" s="612">
        <v>0</v>
      </c>
      <c r="AI24" s="612">
        <v>0</v>
      </c>
      <c r="AJ24" s="612">
        <v>0</v>
      </c>
      <c r="AK24" s="612">
        <v>0</v>
      </c>
      <c r="AL24" s="612">
        <v>1684</v>
      </c>
      <c r="AM24" s="612">
        <v>4038</v>
      </c>
      <c r="AN24" s="612">
        <f t="shared" si="2"/>
        <v>34521</v>
      </c>
      <c r="AO24" s="106">
        <v>46023</v>
      </c>
      <c r="AP24" s="106">
        <v>46387</v>
      </c>
      <c r="AQ24" s="110" t="s">
        <v>1028</v>
      </c>
    </row>
    <row r="25" spans="1:43" ht="74.25" customHeight="1">
      <c r="A25" s="102">
        <v>1</v>
      </c>
      <c r="B25" s="682" t="s">
        <v>513</v>
      </c>
      <c r="C25" s="102">
        <v>22</v>
      </c>
      <c r="D25" s="102" t="s">
        <v>1021</v>
      </c>
      <c r="E25" s="102">
        <v>2201</v>
      </c>
      <c r="F25" s="682" t="s">
        <v>379</v>
      </c>
      <c r="G25" s="102">
        <v>2201006</v>
      </c>
      <c r="H25" s="682" t="s">
        <v>1044</v>
      </c>
      <c r="I25" s="102">
        <v>220100600</v>
      </c>
      <c r="J25" s="682" t="s">
        <v>1045</v>
      </c>
      <c r="K25" s="115">
        <v>54</v>
      </c>
      <c r="L25" s="115"/>
      <c r="M25" s="115">
        <v>54</v>
      </c>
      <c r="N25" s="101">
        <v>2024003630022</v>
      </c>
      <c r="O25" s="682" t="s">
        <v>1046</v>
      </c>
      <c r="P25" s="145" t="s">
        <v>1056</v>
      </c>
      <c r="Q25" s="670">
        <v>10200000</v>
      </c>
      <c r="R25" s="138"/>
      <c r="S25" s="139"/>
      <c r="T25" s="139"/>
      <c r="U25" s="842">
        <f t="shared" si="1"/>
        <v>10200000</v>
      </c>
      <c r="V25" s="458" t="s">
        <v>1051</v>
      </c>
      <c r="W25" s="23" t="s">
        <v>385</v>
      </c>
      <c r="X25" s="28" t="s">
        <v>1027</v>
      </c>
      <c r="Y25" s="612">
        <v>16858</v>
      </c>
      <c r="Z25" s="612">
        <v>17663</v>
      </c>
      <c r="AA25" s="612">
        <v>26731</v>
      </c>
      <c r="AB25" s="612">
        <v>6574</v>
      </c>
      <c r="AC25" s="612">
        <v>877</v>
      </c>
      <c r="AD25" s="612">
        <v>339</v>
      </c>
      <c r="AE25" s="612">
        <v>411</v>
      </c>
      <c r="AF25" s="612">
        <v>333</v>
      </c>
      <c r="AG25" s="612">
        <v>1</v>
      </c>
      <c r="AH25" s="612">
        <v>0</v>
      </c>
      <c r="AI25" s="612">
        <v>0</v>
      </c>
      <c r="AJ25" s="612">
        <v>0</v>
      </c>
      <c r="AK25" s="612">
        <v>0</v>
      </c>
      <c r="AL25" s="612">
        <v>1684</v>
      </c>
      <c r="AM25" s="612">
        <v>4038</v>
      </c>
      <c r="AN25" s="612">
        <f t="shared" si="2"/>
        <v>34521</v>
      </c>
      <c r="AO25" s="106">
        <v>46023</v>
      </c>
      <c r="AP25" s="106">
        <v>46387</v>
      </c>
      <c r="AQ25" s="110" t="s">
        <v>1028</v>
      </c>
    </row>
    <row r="26" spans="1:43" ht="74.25" customHeight="1">
      <c r="A26" s="102">
        <v>1</v>
      </c>
      <c r="B26" s="682" t="s">
        <v>513</v>
      </c>
      <c r="C26" s="102">
        <v>22</v>
      </c>
      <c r="D26" s="102" t="s">
        <v>1021</v>
      </c>
      <c r="E26" s="102">
        <v>2201</v>
      </c>
      <c r="F26" s="682" t="s">
        <v>379</v>
      </c>
      <c r="G26" s="102">
        <v>2201006</v>
      </c>
      <c r="H26" s="682" t="s">
        <v>1044</v>
      </c>
      <c r="I26" s="102">
        <v>220100600</v>
      </c>
      <c r="J26" s="682" t="s">
        <v>1045</v>
      </c>
      <c r="K26" s="115">
        <v>54</v>
      </c>
      <c r="L26" s="115"/>
      <c r="M26" s="115">
        <v>54</v>
      </c>
      <c r="N26" s="101">
        <v>2024003630022</v>
      </c>
      <c r="O26" s="682" t="s">
        <v>1046</v>
      </c>
      <c r="P26" s="145" t="s">
        <v>1057</v>
      </c>
      <c r="Q26" s="670">
        <v>36900000</v>
      </c>
      <c r="R26" s="138">
        <v>16000000</v>
      </c>
      <c r="S26" s="139"/>
      <c r="T26" s="139"/>
      <c r="U26" s="842">
        <f t="shared" si="1"/>
        <v>20900000</v>
      </c>
      <c r="V26" s="458" t="s">
        <v>1048</v>
      </c>
      <c r="W26" s="23" t="s">
        <v>385</v>
      </c>
      <c r="X26" s="28" t="s">
        <v>1027</v>
      </c>
      <c r="Y26" s="612">
        <v>16858</v>
      </c>
      <c r="Z26" s="612">
        <v>17663</v>
      </c>
      <c r="AA26" s="612">
        <v>26731</v>
      </c>
      <c r="AB26" s="612">
        <v>6574</v>
      </c>
      <c r="AC26" s="612">
        <v>877</v>
      </c>
      <c r="AD26" s="612">
        <v>339</v>
      </c>
      <c r="AE26" s="612">
        <v>411</v>
      </c>
      <c r="AF26" s="612">
        <v>333</v>
      </c>
      <c r="AG26" s="612">
        <v>1</v>
      </c>
      <c r="AH26" s="612">
        <v>0</v>
      </c>
      <c r="AI26" s="612">
        <v>0</v>
      </c>
      <c r="AJ26" s="612">
        <v>0</v>
      </c>
      <c r="AK26" s="612">
        <v>0</v>
      </c>
      <c r="AL26" s="612">
        <v>1684</v>
      </c>
      <c r="AM26" s="612">
        <v>4038</v>
      </c>
      <c r="AN26" s="612">
        <f t="shared" si="2"/>
        <v>34521</v>
      </c>
      <c r="AO26" s="106">
        <v>46023</v>
      </c>
      <c r="AP26" s="106">
        <v>46387</v>
      </c>
      <c r="AQ26" s="110" t="s">
        <v>1028</v>
      </c>
    </row>
    <row r="27" spans="1:43" ht="74.25" customHeight="1">
      <c r="A27" s="102">
        <v>1</v>
      </c>
      <c r="B27" s="682" t="s">
        <v>513</v>
      </c>
      <c r="C27" s="102">
        <v>22</v>
      </c>
      <c r="D27" s="102" t="s">
        <v>1021</v>
      </c>
      <c r="E27" s="102">
        <v>2201</v>
      </c>
      <c r="F27" s="682" t="s">
        <v>379</v>
      </c>
      <c r="G27" s="102">
        <v>2201006</v>
      </c>
      <c r="H27" s="682" t="s">
        <v>1044</v>
      </c>
      <c r="I27" s="102">
        <v>220100600</v>
      </c>
      <c r="J27" s="682" t="s">
        <v>1045</v>
      </c>
      <c r="K27" s="115">
        <v>54</v>
      </c>
      <c r="L27" s="115"/>
      <c r="M27" s="115">
        <v>54</v>
      </c>
      <c r="N27" s="101">
        <v>2024003630022</v>
      </c>
      <c r="O27" s="682" t="s">
        <v>1046</v>
      </c>
      <c r="P27" s="145" t="s">
        <v>1058</v>
      </c>
      <c r="Q27" s="670">
        <v>27900000</v>
      </c>
      <c r="R27" s="138">
        <v>14800000</v>
      </c>
      <c r="S27" s="139"/>
      <c r="T27" s="139"/>
      <c r="U27" s="842">
        <f t="shared" si="1"/>
        <v>13100000</v>
      </c>
      <c r="V27" s="458" t="s">
        <v>1048</v>
      </c>
      <c r="W27" s="23" t="s">
        <v>385</v>
      </c>
      <c r="X27" s="28" t="s">
        <v>1027</v>
      </c>
      <c r="Y27" s="612">
        <v>16858</v>
      </c>
      <c r="Z27" s="612">
        <v>17663</v>
      </c>
      <c r="AA27" s="612">
        <v>26731</v>
      </c>
      <c r="AB27" s="612">
        <v>6574</v>
      </c>
      <c r="AC27" s="612">
        <v>877</v>
      </c>
      <c r="AD27" s="612">
        <v>339</v>
      </c>
      <c r="AE27" s="612">
        <v>411</v>
      </c>
      <c r="AF27" s="612">
        <v>333</v>
      </c>
      <c r="AG27" s="612">
        <v>1</v>
      </c>
      <c r="AH27" s="612">
        <v>0</v>
      </c>
      <c r="AI27" s="612">
        <v>0</v>
      </c>
      <c r="AJ27" s="612">
        <v>0</v>
      </c>
      <c r="AK27" s="612">
        <v>0</v>
      </c>
      <c r="AL27" s="612">
        <v>1684</v>
      </c>
      <c r="AM27" s="612">
        <v>4038</v>
      </c>
      <c r="AN27" s="612">
        <f t="shared" si="2"/>
        <v>34521</v>
      </c>
      <c r="AO27" s="106">
        <v>46023</v>
      </c>
      <c r="AP27" s="106">
        <v>46387</v>
      </c>
      <c r="AQ27" s="110" t="s">
        <v>1028</v>
      </c>
    </row>
    <row r="28" spans="1:43" ht="74.25" customHeight="1">
      <c r="A28" s="102">
        <v>1</v>
      </c>
      <c r="B28" s="682" t="s">
        <v>513</v>
      </c>
      <c r="C28" s="102">
        <v>22</v>
      </c>
      <c r="D28" s="102" t="s">
        <v>1021</v>
      </c>
      <c r="E28" s="102">
        <v>2201</v>
      </c>
      <c r="F28" s="682" t="s">
        <v>379</v>
      </c>
      <c r="G28" s="102">
        <v>2201034</v>
      </c>
      <c r="H28" s="682" t="s">
        <v>1059</v>
      </c>
      <c r="I28" s="102">
        <v>220103400</v>
      </c>
      <c r="J28" s="682" t="s">
        <v>1060</v>
      </c>
      <c r="K28" s="115">
        <v>24000</v>
      </c>
      <c r="L28" s="115"/>
      <c r="M28" s="115">
        <v>24000</v>
      </c>
      <c r="N28" s="101">
        <v>2024003630022</v>
      </c>
      <c r="O28" s="682" t="s">
        <v>1046</v>
      </c>
      <c r="P28" s="685" t="s">
        <v>1061</v>
      </c>
      <c r="Q28" s="670">
        <v>38000000</v>
      </c>
      <c r="R28" s="138"/>
      <c r="S28" s="139"/>
      <c r="T28" s="139"/>
      <c r="U28" s="842">
        <f t="shared" si="1"/>
        <v>38000000</v>
      </c>
      <c r="V28" s="458" t="s">
        <v>1062</v>
      </c>
      <c r="W28" s="23" t="s">
        <v>385</v>
      </c>
      <c r="X28" s="28" t="s">
        <v>1027</v>
      </c>
      <c r="Y28" s="612">
        <v>16858</v>
      </c>
      <c r="Z28" s="612">
        <v>17663</v>
      </c>
      <c r="AA28" s="612">
        <v>26731</v>
      </c>
      <c r="AB28" s="612">
        <v>6574</v>
      </c>
      <c r="AC28" s="612">
        <v>877</v>
      </c>
      <c r="AD28" s="612">
        <v>339</v>
      </c>
      <c r="AE28" s="612">
        <v>411</v>
      </c>
      <c r="AF28" s="612">
        <v>333</v>
      </c>
      <c r="AG28" s="612">
        <v>1</v>
      </c>
      <c r="AH28" s="612">
        <v>0</v>
      </c>
      <c r="AI28" s="612">
        <v>0</v>
      </c>
      <c r="AJ28" s="612">
        <v>0</v>
      </c>
      <c r="AK28" s="612">
        <v>0</v>
      </c>
      <c r="AL28" s="612">
        <v>1684</v>
      </c>
      <c r="AM28" s="612">
        <v>4038</v>
      </c>
      <c r="AN28" s="612">
        <f t="shared" si="2"/>
        <v>34521</v>
      </c>
      <c r="AO28" s="106">
        <v>46023</v>
      </c>
      <c r="AP28" s="106">
        <v>46387</v>
      </c>
      <c r="AQ28" s="110" t="s">
        <v>1028</v>
      </c>
    </row>
    <row r="29" spans="1:43" ht="74.25" customHeight="1">
      <c r="A29" s="102">
        <v>1</v>
      </c>
      <c r="B29" s="682" t="s">
        <v>513</v>
      </c>
      <c r="C29" s="102">
        <v>22</v>
      </c>
      <c r="D29" s="102" t="s">
        <v>1021</v>
      </c>
      <c r="E29" s="102">
        <v>2201</v>
      </c>
      <c r="F29" s="682" t="s">
        <v>379</v>
      </c>
      <c r="G29" s="102">
        <v>2201034</v>
      </c>
      <c r="H29" s="682" t="s">
        <v>1059</v>
      </c>
      <c r="I29" s="102">
        <v>220103400</v>
      </c>
      <c r="J29" s="682" t="s">
        <v>1060</v>
      </c>
      <c r="K29" s="115">
        <v>24000</v>
      </c>
      <c r="L29" s="115"/>
      <c r="M29" s="115">
        <v>24000</v>
      </c>
      <c r="N29" s="101">
        <v>2024003630022</v>
      </c>
      <c r="O29" s="682" t="s">
        <v>1046</v>
      </c>
      <c r="P29" s="685" t="s">
        <v>1063</v>
      </c>
      <c r="Q29" s="670">
        <v>12000000</v>
      </c>
      <c r="R29" s="138"/>
      <c r="S29" s="139"/>
      <c r="T29" s="139"/>
      <c r="U29" s="842">
        <f t="shared" si="1"/>
        <v>12000000</v>
      </c>
      <c r="V29" s="458" t="s">
        <v>1064</v>
      </c>
      <c r="W29" s="23" t="s">
        <v>385</v>
      </c>
      <c r="X29" s="28" t="s">
        <v>1027</v>
      </c>
      <c r="Y29" s="612">
        <v>16858</v>
      </c>
      <c r="Z29" s="612">
        <v>17663</v>
      </c>
      <c r="AA29" s="612">
        <v>26731</v>
      </c>
      <c r="AB29" s="612">
        <v>6574</v>
      </c>
      <c r="AC29" s="612">
        <v>877</v>
      </c>
      <c r="AD29" s="612">
        <v>339</v>
      </c>
      <c r="AE29" s="612">
        <v>411</v>
      </c>
      <c r="AF29" s="612">
        <v>333</v>
      </c>
      <c r="AG29" s="612">
        <v>1</v>
      </c>
      <c r="AH29" s="612">
        <v>0</v>
      </c>
      <c r="AI29" s="612">
        <v>0</v>
      </c>
      <c r="AJ29" s="612">
        <v>0</v>
      </c>
      <c r="AK29" s="612">
        <v>0</v>
      </c>
      <c r="AL29" s="612">
        <v>1684</v>
      </c>
      <c r="AM29" s="612">
        <v>4038</v>
      </c>
      <c r="AN29" s="612">
        <f t="shared" si="2"/>
        <v>34521</v>
      </c>
      <c r="AO29" s="106">
        <v>46023</v>
      </c>
      <c r="AP29" s="106">
        <v>46387</v>
      </c>
      <c r="AQ29" s="110" t="s">
        <v>1028</v>
      </c>
    </row>
    <row r="30" spans="1:43" ht="74.25" customHeight="1">
      <c r="A30" s="102">
        <v>1</v>
      </c>
      <c r="B30" s="682" t="s">
        <v>513</v>
      </c>
      <c r="C30" s="102">
        <v>22</v>
      </c>
      <c r="D30" s="102" t="s">
        <v>1021</v>
      </c>
      <c r="E30" s="102">
        <v>2201</v>
      </c>
      <c r="F30" s="682" t="s">
        <v>379</v>
      </c>
      <c r="G30" s="102">
        <v>2201037</v>
      </c>
      <c r="H30" s="682" t="s">
        <v>1065</v>
      </c>
      <c r="I30" s="102">
        <v>220103700</v>
      </c>
      <c r="J30" s="682" t="s">
        <v>1066</v>
      </c>
      <c r="K30" s="115">
        <v>54</v>
      </c>
      <c r="L30" s="115"/>
      <c r="M30" s="115">
        <v>54</v>
      </c>
      <c r="N30" s="101">
        <v>2024003630022</v>
      </c>
      <c r="O30" s="682" t="s">
        <v>1046</v>
      </c>
      <c r="P30" s="685" t="s">
        <v>1067</v>
      </c>
      <c r="Q30" s="670">
        <v>69000000</v>
      </c>
      <c r="R30" s="138">
        <v>12000000</v>
      </c>
      <c r="S30" s="139"/>
      <c r="T30" s="139"/>
      <c r="U30" s="842">
        <f t="shared" si="1"/>
        <v>57000000</v>
      </c>
      <c r="V30" s="458" t="s">
        <v>1068</v>
      </c>
      <c r="W30" s="23" t="s">
        <v>385</v>
      </c>
      <c r="X30" s="28" t="s">
        <v>1027</v>
      </c>
      <c r="Y30" s="612">
        <v>16858</v>
      </c>
      <c r="Z30" s="612">
        <v>17663</v>
      </c>
      <c r="AA30" s="612">
        <v>26731</v>
      </c>
      <c r="AB30" s="612">
        <v>6574</v>
      </c>
      <c r="AC30" s="612">
        <v>877</v>
      </c>
      <c r="AD30" s="612">
        <v>339</v>
      </c>
      <c r="AE30" s="612">
        <v>411</v>
      </c>
      <c r="AF30" s="612">
        <v>333</v>
      </c>
      <c r="AG30" s="612">
        <v>1</v>
      </c>
      <c r="AH30" s="612">
        <v>0</v>
      </c>
      <c r="AI30" s="612">
        <v>0</v>
      </c>
      <c r="AJ30" s="612">
        <v>0</v>
      </c>
      <c r="AK30" s="612">
        <v>0</v>
      </c>
      <c r="AL30" s="612">
        <v>1684</v>
      </c>
      <c r="AM30" s="612">
        <v>4038</v>
      </c>
      <c r="AN30" s="612">
        <f t="shared" si="2"/>
        <v>34521</v>
      </c>
      <c r="AO30" s="106">
        <v>46023</v>
      </c>
      <c r="AP30" s="106">
        <v>46387</v>
      </c>
      <c r="AQ30" s="110" t="s">
        <v>1028</v>
      </c>
    </row>
    <row r="31" spans="1:43" ht="74.25" customHeight="1">
      <c r="A31" s="102">
        <v>1</v>
      </c>
      <c r="B31" s="682" t="s">
        <v>513</v>
      </c>
      <c r="C31" s="102">
        <v>22</v>
      </c>
      <c r="D31" s="102" t="s">
        <v>1021</v>
      </c>
      <c r="E31" s="102">
        <v>2201</v>
      </c>
      <c r="F31" s="682" t="s">
        <v>379</v>
      </c>
      <c r="G31" s="102">
        <v>2201037</v>
      </c>
      <c r="H31" s="682" t="s">
        <v>1065</v>
      </c>
      <c r="I31" s="102">
        <v>220103700</v>
      </c>
      <c r="J31" s="682" t="s">
        <v>1066</v>
      </c>
      <c r="K31" s="115">
        <v>54</v>
      </c>
      <c r="L31" s="115"/>
      <c r="M31" s="115">
        <v>54</v>
      </c>
      <c r="N31" s="101">
        <v>2024003630022</v>
      </c>
      <c r="O31" s="682" t="s">
        <v>1046</v>
      </c>
      <c r="P31" s="685" t="s">
        <v>1069</v>
      </c>
      <c r="Q31" s="670">
        <v>11000000</v>
      </c>
      <c r="R31" s="138"/>
      <c r="S31" s="139"/>
      <c r="T31" s="139"/>
      <c r="U31" s="842">
        <f t="shared" si="1"/>
        <v>11000000</v>
      </c>
      <c r="V31" s="458" t="s">
        <v>1070</v>
      </c>
      <c r="W31" s="23" t="s">
        <v>385</v>
      </c>
      <c r="X31" s="28" t="s">
        <v>1027</v>
      </c>
      <c r="Y31" s="612">
        <v>16858</v>
      </c>
      <c r="Z31" s="612">
        <v>17663</v>
      </c>
      <c r="AA31" s="612">
        <v>26731</v>
      </c>
      <c r="AB31" s="612">
        <v>6574</v>
      </c>
      <c r="AC31" s="612">
        <v>877</v>
      </c>
      <c r="AD31" s="612">
        <v>339</v>
      </c>
      <c r="AE31" s="612">
        <v>411</v>
      </c>
      <c r="AF31" s="612">
        <v>333</v>
      </c>
      <c r="AG31" s="612">
        <v>1</v>
      </c>
      <c r="AH31" s="612">
        <v>0</v>
      </c>
      <c r="AI31" s="612">
        <v>0</v>
      </c>
      <c r="AJ31" s="612">
        <v>0</v>
      </c>
      <c r="AK31" s="612">
        <v>0</v>
      </c>
      <c r="AL31" s="612">
        <v>1684</v>
      </c>
      <c r="AM31" s="612">
        <v>4038</v>
      </c>
      <c r="AN31" s="612">
        <f t="shared" si="2"/>
        <v>34521</v>
      </c>
      <c r="AO31" s="106">
        <v>46023</v>
      </c>
      <c r="AP31" s="106">
        <v>46387</v>
      </c>
      <c r="AQ31" s="110" t="s">
        <v>1028</v>
      </c>
    </row>
    <row r="32" spans="1:43" ht="74.25" customHeight="1">
      <c r="A32" s="102">
        <v>1</v>
      </c>
      <c r="B32" s="682" t="s">
        <v>513</v>
      </c>
      <c r="C32" s="102">
        <v>22</v>
      </c>
      <c r="D32" s="102" t="s">
        <v>1021</v>
      </c>
      <c r="E32" s="102">
        <v>2201</v>
      </c>
      <c r="F32" s="682" t="s">
        <v>379</v>
      </c>
      <c r="G32" s="102">
        <v>2201047</v>
      </c>
      <c r="H32" s="682" t="s">
        <v>1071</v>
      </c>
      <c r="I32" s="102">
        <v>220104700</v>
      </c>
      <c r="J32" s="682" t="s">
        <v>1072</v>
      </c>
      <c r="K32" s="115">
        <v>54</v>
      </c>
      <c r="L32" s="115"/>
      <c r="M32" s="115">
        <v>54</v>
      </c>
      <c r="N32" s="101">
        <v>2024003630022</v>
      </c>
      <c r="O32" s="682" t="s">
        <v>1046</v>
      </c>
      <c r="P32" s="685" t="s">
        <v>1073</v>
      </c>
      <c r="Q32" s="670">
        <v>60000000</v>
      </c>
      <c r="R32" s="138">
        <v>16000000</v>
      </c>
      <c r="S32" s="139"/>
      <c r="T32" s="139"/>
      <c r="U32" s="842">
        <f t="shared" si="1"/>
        <v>44000000</v>
      </c>
      <c r="V32" s="458" t="s">
        <v>1074</v>
      </c>
      <c r="W32" s="23" t="s">
        <v>385</v>
      </c>
      <c r="X32" s="28" t="s">
        <v>1027</v>
      </c>
      <c r="Y32" s="612">
        <v>16858</v>
      </c>
      <c r="Z32" s="612">
        <v>17663</v>
      </c>
      <c r="AA32" s="612">
        <v>26731</v>
      </c>
      <c r="AB32" s="612">
        <v>6574</v>
      </c>
      <c r="AC32" s="612">
        <v>877</v>
      </c>
      <c r="AD32" s="612">
        <v>339</v>
      </c>
      <c r="AE32" s="612">
        <v>411</v>
      </c>
      <c r="AF32" s="612">
        <v>333</v>
      </c>
      <c r="AG32" s="612">
        <v>1</v>
      </c>
      <c r="AH32" s="612">
        <v>0</v>
      </c>
      <c r="AI32" s="612">
        <v>0</v>
      </c>
      <c r="AJ32" s="612">
        <v>0</v>
      </c>
      <c r="AK32" s="612">
        <v>0</v>
      </c>
      <c r="AL32" s="612">
        <v>1684</v>
      </c>
      <c r="AM32" s="612">
        <v>4038</v>
      </c>
      <c r="AN32" s="612">
        <f t="shared" si="2"/>
        <v>34521</v>
      </c>
      <c r="AO32" s="106">
        <v>46023</v>
      </c>
      <c r="AP32" s="106">
        <v>46387</v>
      </c>
      <c r="AQ32" s="110" t="s">
        <v>1028</v>
      </c>
    </row>
    <row r="33" spans="1:43" ht="74.25" customHeight="1">
      <c r="A33" s="102">
        <v>1</v>
      </c>
      <c r="B33" s="682" t="s">
        <v>513</v>
      </c>
      <c r="C33" s="102">
        <v>22</v>
      </c>
      <c r="D33" s="102" t="s">
        <v>1021</v>
      </c>
      <c r="E33" s="102">
        <v>2201</v>
      </c>
      <c r="F33" s="682" t="s">
        <v>379</v>
      </c>
      <c r="G33" s="102">
        <v>2201047</v>
      </c>
      <c r="H33" s="682" t="s">
        <v>1071</v>
      </c>
      <c r="I33" s="102">
        <v>220104700</v>
      </c>
      <c r="J33" s="682" t="s">
        <v>1072</v>
      </c>
      <c r="K33" s="115">
        <v>54</v>
      </c>
      <c r="L33" s="115"/>
      <c r="M33" s="115">
        <v>54</v>
      </c>
      <c r="N33" s="101">
        <v>2024003630022</v>
      </c>
      <c r="O33" s="682" t="s">
        <v>1046</v>
      </c>
      <c r="P33" s="685" t="s">
        <v>1075</v>
      </c>
      <c r="Q33" s="670">
        <v>90000000</v>
      </c>
      <c r="R33" s="138"/>
      <c r="S33" s="139"/>
      <c r="T33" s="139"/>
      <c r="U33" s="842">
        <f t="shared" si="1"/>
        <v>90000000</v>
      </c>
      <c r="V33" s="458" t="s">
        <v>1076</v>
      </c>
      <c r="W33" s="23" t="s">
        <v>385</v>
      </c>
      <c r="X33" s="28" t="s">
        <v>1027</v>
      </c>
      <c r="Y33" s="612">
        <v>16858</v>
      </c>
      <c r="Z33" s="612">
        <v>17663</v>
      </c>
      <c r="AA33" s="612">
        <v>26731</v>
      </c>
      <c r="AB33" s="612">
        <v>6574</v>
      </c>
      <c r="AC33" s="612">
        <v>877</v>
      </c>
      <c r="AD33" s="612">
        <v>339</v>
      </c>
      <c r="AE33" s="612">
        <v>411</v>
      </c>
      <c r="AF33" s="612">
        <v>333</v>
      </c>
      <c r="AG33" s="612">
        <v>1</v>
      </c>
      <c r="AH33" s="612">
        <v>0</v>
      </c>
      <c r="AI33" s="612">
        <v>0</v>
      </c>
      <c r="AJ33" s="612">
        <v>0</v>
      </c>
      <c r="AK33" s="612">
        <v>0</v>
      </c>
      <c r="AL33" s="612">
        <v>1684</v>
      </c>
      <c r="AM33" s="612">
        <v>4038</v>
      </c>
      <c r="AN33" s="612">
        <f t="shared" si="2"/>
        <v>34521</v>
      </c>
      <c r="AO33" s="106">
        <v>46023</v>
      </c>
      <c r="AP33" s="106">
        <v>46387</v>
      </c>
      <c r="AQ33" s="110" t="s">
        <v>1028</v>
      </c>
    </row>
    <row r="34" spans="1:43" ht="74.25" customHeight="1">
      <c r="A34" s="102">
        <v>1</v>
      </c>
      <c r="B34" s="682" t="s">
        <v>513</v>
      </c>
      <c r="C34" s="102">
        <v>22</v>
      </c>
      <c r="D34" s="102" t="s">
        <v>1021</v>
      </c>
      <c r="E34" s="102">
        <v>2201</v>
      </c>
      <c r="F34" s="682" t="s">
        <v>379</v>
      </c>
      <c r="G34" s="102">
        <v>2201050</v>
      </c>
      <c r="H34" s="682" t="s">
        <v>1077</v>
      </c>
      <c r="I34" s="102">
        <v>220105000</v>
      </c>
      <c r="J34" s="682" t="s">
        <v>1078</v>
      </c>
      <c r="K34" s="115">
        <v>35000</v>
      </c>
      <c r="L34" s="115"/>
      <c r="M34" s="115">
        <v>35000</v>
      </c>
      <c r="N34" s="101">
        <v>2024003630022</v>
      </c>
      <c r="O34" s="682" t="s">
        <v>1046</v>
      </c>
      <c r="P34" s="685" t="s">
        <v>1079</v>
      </c>
      <c r="Q34" s="937">
        <f>604981944-604981944</f>
        <v>0</v>
      </c>
      <c r="R34" s="138"/>
      <c r="S34" s="139"/>
      <c r="T34" s="139"/>
      <c r="U34" s="842">
        <f t="shared" si="1"/>
        <v>0</v>
      </c>
      <c r="V34" s="458" t="s">
        <v>1080</v>
      </c>
      <c r="W34" s="23" t="s">
        <v>1081</v>
      </c>
      <c r="X34" s="28" t="s">
        <v>1082</v>
      </c>
      <c r="Y34" s="612">
        <v>16858</v>
      </c>
      <c r="Z34" s="612">
        <v>17663</v>
      </c>
      <c r="AA34" s="612">
        <v>26731</v>
      </c>
      <c r="AB34" s="612">
        <v>6574</v>
      </c>
      <c r="AC34" s="612">
        <v>877</v>
      </c>
      <c r="AD34" s="612">
        <v>339</v>
      </c>
      <c r="AE34" s="612">
        <v>411</v>
      </c>
      <c r="AF34" s="612">
        <v>333</v>
      </c>
      <c r="AG34" s="612">
        <v>1</v>
      </c>
      <c r="AH34" s="612">
        <v>0</v>
      </c>
      <c r="AI34" s="612">
        <v>0</v>
      </c>
      <c r="AJ34" s="612">
        <v>0</v>
      </c>
      <c r="AK34" s="612">
        <v>0</v>
      </c>
      <c r="AL34" s="612">
        <v>1684</v>
      </c>
      <c r="AM34" s="612">
        <v>4038</v>
      </c>
      <c r="AN34" s="612">
        <f t="shared" si="2"/>
        <v>34521</v>
      </c>
      <c r="AO34" s="106">
        <v>46023</v>
      </c>
      <c r="AP34" s="106">
        <v>46387</v>
      </c>
      <c r="AQ34" s="110" t="s">
        <v>1028</v>
      </c>
    </row>
    <row r="35" spans="1:43" ht="74.25" customHeight="1">
      <c r="A35" s="102">
        <v>1</v>
      </c>
      <c r="B35" s="682" t="s">
        <v>513</v>
      </c>
      <c r="C35" s="102">
        <v>22</v>
      </c>
      <c r="D35" s="102" t="s">
        <v>1021</v>
      </c>
      <c r="E35" s="102">
        <v>2201</v>
      </c>
      <c r="F35" s="682" t="s">
        <v>379</v>
      </c>
      <c r="G35" s="102">
        <v>2201050</v>
      </c>
      <c r="H35" s="682" t="s">
        <v>1077</v>
      </c>
      <c r="I35" s="102">
        <v>220105000</v>
      </c>
      <c r="J35" s="682" t="s">
        <v>1078</v>
      </c>
      <c r="K35" s="115">
        <v>35000</v>
      </c>
      <c r="L35" s="115"/>
      <c r="M35" s="115">
        <v>35000</v>
      </c>
      <c r="N35" s="101">
        <v>2024003630022</v>
      </c>
      <c r="O35" s="682" t="s">
        <v>1046</v>
      </c>
      <c r="P35" s="934" t="s">
        <v>1083</v>
      </c>
      <c r="Q35" s="937">
        <f>604981944-19145893</f>
        <v>585836051</v>
      </c>
      <c r="R35" s="138"/>
      <c r="S35" s="139"/>
      <c r="T35" s="945">
        <v>19145893</v>
      </c>
      <c r="U35" s="842">
        <f>+Q35-R35+S35-T35</f>
        <v>566690158</v>
      </c>
      <c r="V35" s="458" t="s">
        <v>1084</v>
      </c>
      <c r="W35" s="23" t="s">
        <v>1081</v>
      </c>
      <c r="X35" s="28" t="s">
        <v>1082</v>
      </c>
      <c r="Y35" s="612">
        <v>16858</v>
      </c>
      <c r="Z35" s="612">
        <v>17663</v>
      </c>
      <c r="AA35" s="612">
        <v>26731</v>
      </c>
      <c r="AB35" s="612">
        <v>6574</v>
      </c>
      <c r="AC35" s="612">
        <v>877</v>
      </c>
      <c r="AD35" s="612">
        <v>339</v>
      </c>
      <c r="AE35" s="612">
        <v>411</v>
      </c>
      <c r="AF35" s="612">
        <v>333</v>
      </c>
      <c r="AG35" s="612">
        <v>1</v>
      </c>
      <c r="AH35" s="612">
        <v>0</v>
      </c>
      <c r="AI35" s="612">
        <v>0</v>
      </c>
      <c r="AJ35" s="612">
        <v>0</v>
      </c>
      <c r="AK35" s="612">
        <v>0</v>
      </c>
      <c r="AL35" s="612">
        <v>1684</v>
      </c>
      <c r="AM35" s="612">
        <v>4038</v>
      </c>
      <c r="AN35" s="612">
        <f>SUM(Y35:Z35)</f>
        <v>34521</v>
      </c>
      <c r="AO35" s="106">
        <v>46023</v>
      </c>
      <c r="AP35" s="106">
        <v>46387</v>
      </c>
      <c r="AQ35" s="110" t="s">
        <v>1028</v>
      </c>
    </row>
    <row r="36" spans="1:43" ht="74.25" customHeight="1">
      <c r="A36" s="102">
        <v>1</v>
      </c>
      <c r="B36" s="682" t="s">
        <v>513</v>
      </c>
      <c r="C36" s="102">
        <v>22</v>
      </c>
      <c r="D36" s="102" t="s">
        <v>1021</v>
      </c>
      <c r="E36" s="102">
        <v>2201</v>
      </c>
      <c r="F36" s="682" t="s">
        <v>379</v>
      </c>
      <c r="G36" s="102">
        <v>2201054</v>
      </c>
      <c r="H36" s="682" t="s">
        <v>1085</v>
      </c>
      <c r="I36" s="102">
        <v>220105400</v>
      </c>
      <c r="J36" s="682" t="s">
        <v>1086</v>
      </c>
      <c r="K36" s="115">
        <v>11</v>
      </c>
      <c r="L36" s="115"/>
      <c r="M36" s="115">
        <v>11</v>
      </c>
      <c r="N36" s="101">
        <v>2024003630022</v>
      </c>
      <c r="O36" s="682" t="s">
        <v>1046</v>
      </c>
      <c r="P36" s="685" t="s">
        <v>1087</v>
      </c>
      <c r="Q36" s="670">
        <v>24000000</v>
      </c>
      <c r="R36" s="138"/>
      <c r="S36" s="139"/>
      <c r="T36" s="139"/>
      <c r="U36" s="842">
        <f t="shared" si="1"/>
        <v>24000000</v>
      </c>
      <c r="V36" s="458" t="s">
        <v>1088</v>
      </c>
      <c r="W36" s="23" t="s">
        <v>385</v>
      </c>
      <c r="X36" s="28" t="s">
        <v>1027</v>
      </c>
      <c r="Y36" s="612">
        <v>16858</v>
      </c>
      <c r="Z36" s="612">
        <v>17663</v>
      </c>
      <c r="AA36" s="612">
        <v>26731</v>
      </c>
      <c r="AB36" s="612">
        <v>6574</v>
      </c>
      <c r="AC36" s="612">
        <v>877</v>
      </c>
      <c r="AD36" s="612">
        <v>339</v>
      </c>
      <c r="AE36" s="612">
        <v>411</v>
      </c>
      <c r="AF36" s="612">
        <v>333</v>
      </c>
      <c r="AG36" s="612">
        <v>1</v>
      </c>
      <c r="AH36" s="612">
        <v>0</v>
      </c>
      <c r="AI36" s="612">
        <v>0</v>
      </c>
      <c r="AJ36" s="612">
        <v>0</v>
      </c>
      <c r="AK36" s="612">
        <v>0</v>
      </c>
      <c r="AL36" s="612">
        <v>1684</v>
      </c>
      <c r="AM36" s="612">
        <v>4038</v>
      </c>
      <c r="AN36" s="612">
        <f t="shared" si="2"/>
        <v>34521</v>
      </c>
      <c r="AO36" s="106">
        <v>46023</v>
      </c>
      <c r="AP36" s="106">
        <v>46387</v>
      </c>
      <c r="AQ36" s="110" t="s">
        <v>1028</v>
      </c>
    </row>
    <row r="37" spans="1:43" ht="74.25" customHeight="1">
      <c r="A37" s="102">
        <v>1</v>
      </c>
      <c r="B37" s="682" t="s">
        <v>513</v>
      </c>
      <c r="C37" s="102">
        <v>22</v>
      </c>
      <c r="D37" s="102" t="s">
        <v>1021</v>
      </c>
      <c r="E37" s="102">
        <v>2201</v>
      </c>
      <c r="F37" s="682" t="s">
        <v>379</v>
      </c>
      <c r="G37" s="102">
        <v>2201067</v>
      </c>
      <c r="H37" s="682" t="s">
        <v>1089</v>
      </c>
      <c r="I37" s="102">
        <v>220106700</v>
      </c>
      <c r="J37" s="682" t="s">
        <v>1090</v>
      </c>
      <c r="K37" s="115">
        <v>54</v>
      </c>
      <c r="L37" s="115"/>
      <c r="M37" s="115">
        <v>54</v>
      </c>
      <c r="N37" s="101">
        <v>2024003630022</v>
      </c>
      <c r="O37" s="682" t="s">
        <v>1046</v>
      </c>
      <c r="P37" s="685" t="s">
        <v>1091</v>
      </c>
      <c r="Q37" s="670">
        <v>24000000</v>
      </c>
      <c r="R37" s="138"/>
      <c r="S37" s="139"/>
      <c r="T37" s="139"/>
      <c r="U37" s="842">
        <f t="shared" si="1"/>
        <v>24000000</v>
      </c>
      <c r="V37" s="458" t="s">
        <v>1092</v>
      </c>
      <c r="W37" s="23" t="s">
        <v>385</v>
      </c>
      <c r="X37" s="28" t="s">
        <v>1027</v>
      </c>
      <c r="Y37" s="612">
        <v>16858</v>
      </c>
      <c r="Z37" s="612">
        <v>17663</v>
      </c>
      <c r="AA37" s="612">
        <v>26731</v>
      </c>
      <c r="AB37" s="612">
        <v>6574</v>
      </c>
      <c r="AC37" s="612">
        <v>877</v>
      </c>
      <c r="AD37" s="612">
        <v>339</v>
      </c>
      <c r="AE37" s="612">
        <v>411</v>
      </c>
      <c r="AF37" s="612">
        <v>333</v>
      </c>
      <c r="AG37" s="612">
        <v>1</v>
      </c>
      <c r="AH37" s="612">
        <v>0</v>
      </c>
      <c r="AI37" s="612">
        <v>0</v>
      </c>
      <c r="AJ37" s="612">
        <v>0</v>
      </c>
      <c r="AK37" s="612">
        <v>0</v>
      </c>
      <c r="AL37" s="612">
        <v>1684</v>
      </c>
      <c r="AM37" s="612">
        <v>4038</v>
      </c>
      <c r="AN37" s="612">
        <f t="shared" si="2"/>
        <v>34521</v>
      </c>
      <c r="AO37" s="106">
        <v>46023</v>
      </c>
      <c r="AP37" s="106">
        <v>46387</v>
      </c>
      <c r="AQ37" s="110" t="s">
        <v>1028</v>
      </c>
    </row>
    <row r="38" spans="1:43" ht="74.25" customHeight="1">
      <c r="A38" s="102">
        <v>1</v>
      </c>
      <c r="B38" s="682" t="s">
        <v>513</v>
      </c>
      <c r="C38" s="102">
        <v>22</v>
      </c>
      <c r="D38" s="102" t="s">
        <v>1021</v>
      </c>
      <c r="E38" s="102">
        <v>2201</v>
      </c>
      <c r="F38" s="682" t="s">
        <v>379</v>
      </c>
      <c r="G38" s="102">
        <v>2201074</v>
      </c>
      <c r="H38" s="682" t="s">
        <v>1093</v>
      </c>
      <c r="I38" s="102">
        <v>220107400</v>
      </c>
      <c r="J38" s="682" t="s">
        <v>1094</v>
      </c>
      <c r="K38" s="115">
        <v>400</v>
      </c>
      <c r="L38" s="115"/>
      <c r="M38" s="115">
        <v>400</v>
      </c>
      <c r="N38" s="101">
        <v>2024003630022</v>
      </c>
      <c r="O38" s="682" t="s">
        <v>1046</v>
      </c>
      <c r="P38" s="685" t="s">
        <v>1095</v>
      </c>
      <c r="Q38" s="670">
        <v>45000000</v>
      </c>
      <c r="R38" s="138"/>
      <c r="S38" s="139"/>
      <c r="T38" s="139"/>
      <c r="U38" s="842">
        <f t="shared" si="1"/>
        <v>45000000</v>
      </c>
      <c r="V38" s="458" t="s">
        <v>1096</v>
      </c>
      <c r="W38" s="23" t="s">
        <v>385</v>
      </c>
      <c r="X38" s="28" t="s">
        <v>1027</v>
      </c>
      <c r="Y38" s="612">
        <v>16858</v>
      </c>
      <c r="Z38" s="612">
        <v>17663</v>
      </c>
      <c r="AA38" s="612">
        <v>26731</v>
      </c>
      <c r="AB38" s="612">
        <v>6574</v>
      </c>
      <c r="AC38" s="612">
        <v>877</v>
      </c>
      <c r="AD38" s="612">
        <v>339</v>
      </c>
      <c r="AE38" s="612">
        <v>411</v>
      </c>
      <c r="AF38" s="612">
        <v>333</v>
      </c>
      <c r="AG38" s="612">
        <v>1</v>
      </c>
      <c r="AH38" s="612">
        <v>0</v>
      </c>
      <c r="AI38" s="612">
        <v>0</v>
      </c>
      <c r="AJ38" s="612">
        <v>0</v>
      </c>
      <c r="AK38" s="612">
        <v>0</v>
      </c>
      <c r="AL38" s="612">
        <v>1684</v>
      </c>
      <c r="AM38" s="612">
        <v>4038</v>
      </c>
      <c r="AN38" s="612">
        <f t="shared" si="2"/>
        <v>34521</v>
      </c>
      <c r="AO38" s="106">
        <v>46023</v>
      </c>
      <c r="AP38" s="106">
        <v>46387</v>
      </c>
      <c r="AQ38" s="110" t="s">
        <v>1028</v>
      </c>
    </row>
    <row r="39" spans="1:43" ht="74.25" customHeight="1">
      <c r="A39" s="102">
        <v>1</v>
      </c>
      <c r="B39" s="682" t="s">
        <v>513</v>
      </c>
      <c r="C39" s="102">
        <v>22</v>
      </c>
      <c r="D39" s="102" t="s">
        <v>1021</v>
      </c>
      <c r="E39" s="102">
        <v>2201</v>
      </c>
      <c r="F39" s="682" t="s">
        <v>379</v>
      </c>
      <c r="G39" s="102">
        <v>2201081</v>
      </c>
      <c r="H39" s="682" t="s">
        <v>1097</v>
      </c>
      <c r="I39" s="102">
        <v>220108100</v>
      </c>
      <c r="J39" s="682" t="s">
        <v>1098</v>
      </c>
      <c r="K39" s="115">
        <v>54</v>
      </c>
      <c r="L39" s="115"/>
      <c r="M39" s="115">
        <v>54</v>
      </c>
      <c r="N39" s="101">
        <v>2024003630022</v>
      </c>
      <c r="O39" s="682" t="s">
        <v>1046</v>
      </c>
      <c r="P39" s="685" t="s">
        <v>1099</v>
      </c>
      <c r="Q39" s="670">
        <v>24000000</v>
      </c>
      <c r="R39" s="138"/>
      <c r="S39" s="139"/>
      <c r="T39" s="139"/>
      <c r="U39" s="842">
        <f t="shared" si="1"/>
        <v>24000000</v>
      </c>
      <c r="V39" s="458" t="s">
        <v>1100</v>
      </c>
      <c r="W39" s="23" t="s">
        <v>385</v>
      </c>
      <c r="X39" s="28" t="s">
        <v>1027</v>
      </c>
      <c r="Y39" s="612">
        <v>16858</v>
      </c>
      <c r="Z39" s="612">
        <v>17663</v>
      </c>
      <c r="AA39" s="612">
        <v>26731</v>
      </c>
      <c r="AB39" s="612">
        <v>6574</v>
      </c>
      <c r="AC39" s="612">
        <v>877</v>
      </c>
      <c r="AD39" s="612">
        <v>339</v>
      </c>
      <c r="AE39" s="612">
        <v>411</v>
      </c>
      <c r="AF39" s="612">
        <v>333</v>
      </c>
      <c r="AG39" s="612">
        <v>1</v>
      </c>
      <c r="AH39" s="612">
        <v>0</v>
      </c>
      <c r="AI39" s="612">
        <v>0</v>
      </c>
      <c r="AJ39" s="612">
        <v>0</v>
      </c>
      <c r="AK39" s="612">
        <v>0</v>
      </c>
      <c r="AL39" s="612">
        <v>1684</v>
      </c>
      <c r="AM39" s="612">
        <v>4038</v>
      </c>
      <c r="AN39" s="612">
        <f t="shared" si="2"/>
        <v>34521</v>
      </c>
      <c r="AO39" s="106">
        <v>46023</v>
      </c>
      <c r="AP39" s="106">
        <v>46387</v>
      </c>
      <c r="AQ39" s="110" t="s">
        <v>1028</v>
      </c>
    </row>
    <row r="40" spans="1:43" ht="74.25" hidden="1" customHeight="1">
      <c r="A40" s="102">
        <v>1</v>
      </c>
      <c r="B40" s="682" t="s">
        <v>513</v>
      </c>
      <c r="C40" s="102">
        <v>22</v>
      </c>
      <c r="D40" s="102" t="s">
        <v>1021</v>
      </c>
      <c r="E40" s="102">
        <v>2201</v>
      </c>
      <c r="F40" s="682" t="s">
        <v>379</v>
      </c>
      <c r="G40" s="102">
        <v>2201017</v>
      </c>
      <c r="H40" s="682" t="s">
        <v>1101</v>
      </c>
      <c r="I40" s="102">
        <v>220101700</v>
      </c>
      <c r="J40" s="682" t="s">
        <v>1102</v>
      </c>
      <c r="K40" s="115">
        <v>35000</v>
      </c>
      <c r="L40" s="115"/>
      <c r="M40" s="115">
        <v>35000</v>
      </c>
      <c r="N40" s="101">
        <v>2024003630023</v>
      </c>
      <c r="O40" s="682" t="s">
        <v>1103</v>
      </c>
      <c r="P40" s="683" t="s">
        <v>1104</v>
      </c>
      <c r="Q40" s="139">
        <v>5000000</v>
      </c>
      <c r="R40" s="138"/>
      <c r="S40" s="139"/>
      <c r="T40" s="139"/>
      <c r="U40" s="454">
        <f t="shared" si="1"/>
        <v>5000000</v>
      </c>
      <c r="V40" s="612" t="s">
        <v>1105</v>
      </c>
      <c r="W40" s="23" t="s">
        <v>385</v>
      </c>
      <c r="X40" s="28" t="s">
        <v>1027</v>
      </c>
      <c r="Y40" s="612">
        <v>16858</v>
      </c>
      <c r="Z40" s="612">
        <v>17663</v>
      </c>
      <c r="AA40" s="612">
        <v>26731</v>
      </c>
      <c r="AB40" s="612">
        <v>6574</v>
      </c>
      <c r="AC40" s="612">
        <v>877</v>
      </c>
      <c r="AD40" s="612">
        <v>339</v>
      </c>
      <c r="AE40" s="612">
        <v>411</v>
      </c>
      <c r="AF40" s="612">
        <v>333</v>
      </c>
      <c r="AG40" s="612">
        <v>1</v>
      </c>
      <c r="AH40" s="612">
        <v>0</v>
      </c>
      <c r="AI40" s="612">
        <v>0</v>
      </c>
      <c r="AJ40" s="612">
        <v>0</v>
      </c>
      <c r="AK40" s="612">
        <v>0</v>
      </c>
      <c r="AL40" s="612">
        <v>1684</v>
      </c>
      <c r="AM40" s="612">
        <v>4038</v>
      </c>
      <c r="AN40" s="612">
        <f t="shared" si="2"/>
        <v>34521</v>
      </c>
      <c r="AO40" s="106">
        <v>46023</v>
      </c>
      <c r="AP40" s="106">
        <v>46387</v>
      </c>
      <c r="AQ40" s="110" t="s">
        <v>1028</v>
      </c>
    </row>
    <row r="41" spans="1:43" ht="74.25" hidden="1" customHeight="1">
      <c r="A41" s="102">
        <v>1</v>
      </c>
      <c r="B41" s="682" t="s">
        <v>513</v>
      </c>
      <c r="C41" s="102">
        <v>22</v>
      </c>
      <c r="D41" s="102" t="s">
        <v>1021</v>
      </c>
      <c r="E41" s="102">
        <v>2201</v>
      </c>
      <c r="F41" s="682" t="s">
        <v>379</v>
      </c>
      <c r="G41" s="102">
        <v>2201017</v>
      </c>
      <c r="H41" s="682" t="s">
        <v>1101</v>
      </c>
      <c r="I41" s="102">
        <v>220101700</v>
      </c>
      <c r="J41" s="682" t="s">
        <v>1102</v>
      </c>
      <c r="K41" s="115">
        <v>35000</v>
      </c>
      <c r="L41" s="115"/>
      <c r="M41" s="115">
        <v>35000</v>
      </c>
      <c r="N41" s="101">
        <v>2024003630023</v>
      </c>
      <c r="O41" s="682" t="s">
        <v>1103</v>
      </c>
      <c r="P41" s="683" t="s">
        <v>1106</v>
      </c>
      <c r="Q41" s="139">
        <v>36550000</v>
      </c>
      <c r="R41" s="138">
        <v>16000000</v>
      </c>
      <c r="S41" s="139"/>
      <c r="T41" s="139"/>
      <c r="U41" s="454">
        <f t="shared" si="1"/>
        <v>20550000</v>
      </c>
      <c r="V41" s="612" t="s">
        <v>1107</v>
      </c>
      <c r="W41" s="23" t="s">
        <v>385</v>
      </c>
      <c r="X41" s="28" t="s">
        <v>1027</v>
      </c>
      <c r="Y41" s="612">
        <v>16858</v>
      </c>
      <c r="Z41" s="612">
        <v>17663</v>
      </c>
      <c r="AA41" s="612">
        <v>26731</v>
      </c>
      <c r="AB41" s="612">
        <v>6574</v>
      </c>
      <c r="AC41" s="612">
        <v>877</v>
      </c>
      <c r="AD41" s="612">
        <v>339</v>
      </c>
      <c r="AE41" s="612">
        <v>411</v>
      </c>
      <c r="AF41" s="612">
        <v>333</v>
      </c>
      <c r="AG41" s="612">
        <v>1</v>
      </c>
      <c r="AH41" s="612">
        <v>0</v>
      </c>
      <c r="AI41" s="612">
        <v>0</v>
      </c>
      <c r="AJ41" s="612">
        <v>0</v>
      </c>
      <c r="AK41" s="612">
        <v>0</v>
      </c>
      <c r="AL41" s="612">
        <v>1684</v>
      </c>
      <c r="AM41" s="612">
        <v>4038</v>
      </c>
      <c r="AN41" s="612">
        <f t="shared" si="2"/>
        <v>34521</v>
      </c>
      <c r="AO41" s="106">
        <v>46023</v>
      </c>
      <c r="AP41" s="106">
        <v>46387</v>
      </c>
      <c r="AQ41" s="110" t="s">
        <v>1028</v>
      </c>
    </row>
    <row r="42" spans="1:43" ht="74.25" hidden="1" customHeight="1">
      <c r="A42" s="102">
        <v>1</v>
      </c>
      <c r="B42" s="682" t="s">
        <v>513</v>
      </c>
      <c r="C42" s="102">
        <v>22</v>
      </c>
      <c r="D42" s="102" t="s">
        <v>1021</v>
      </c>
      <c r="E42" s="102">
        <v>2201</v>
      </c>
      <c r="F42" s="682" t="s">
        <v>379</v>
      </c>
      <c r="G42" s="102">
        <v>2201017</v>
      </c>
      <c r="H42" s="682" t="s">
        <v>1101</v>
      </c>
      <c r="I42" s="102">
        <v>220101700</v>
      </c>
      <c r="J42" s="682" t="s">
        <v>1102</v>
      </c>
      <c r="K42" s="115">
        <v>35000</v>
      </c>
      <c r="L42" s="115"/>
      <c r="M42" s="115">
        <v>35000</v>
      </c>
      <c r="N42" s="101">
        <v>2024003630023</v>
      </c>
      <c r="O42" s="682" t="s">
        <v>1103</v>
      </c>
      <c r="P42" s="683" t="s">
        <v>1108</v>
      </c>
      <c r="Q42" s="139">
        <v>80000000</v>
      </c>
      <c r="R42" s="138">
        <f>16000000+14800000</f>
        <v>30800000</v>
      </c>
      <c r="S42" s="139"/>
      <c r="T42" s="139"/>
      <c r="U42" s="454">
        <f t="shared" si="1"/>
        <v>49200000</v>
      </c>
      <c r="V42" s="612" t="s">
        <v>1107</v>
      </c>
      <c r="W42" s="23" t="s">
        <v>385</v>
      </c>
      <c r="X42" s="28" t="s">
        <v>1027</v>
      </c>
      <c r="Y42" s="612">
        <v>16858</v>
      </c>
      <c r="Z42" s="612">
        <v>17663</v>
      </c>
      <c r="AA42" s="612">
        <v>26731</v>
      </c>
      <c r="AB42" s="612">
        <v>6574</v>
      </c>
      <c r="AC42" s="612">
        <v>877</v>
      </c>
      <c r="AD42" s="612">
        <v>339</v>
      </c>
      <c r="AE42" s="612">
        <v>411</v>
      </c>
      <c r="AF42" s="612">
        <v>333</v>
      </c>
      <c r="AG42" s="612">
        <v>1</v>
      </c>
      <c r="AH42" s="612">
        <v>0</v>
      </c>
      <c r="AI42" s="612">
        <v>0</v>
      </c>
      <c r="AJ42" s="612">
        <v>0</v>
      </c>
      <c r="AK42" s="612">
        <v>0</v>
      </c>
      <c r="AL42" s="612">
        <v>1684</v>
      </c>
      <c r="AM42" s="612">
        <v>4038</v>
      </c>
      <c r="AN42" s="612">
        <f t="shared" si="2"/>
        <v>34521</v>
      </c>
      <c r="AO42" s="106">
        <v>46023</v>
      </c>
      <c r="AP42" s="106">
        <v>46387</v>
      </c>
      <c r="AQ42" s="110" t="s">
        <v>1028</v>
      </c>
    </row>
    <row r="43" spans="1:43" ht="74.25" hidden="1" customHeight="1">
      <c r="A43" s="102">
        <v>1</v>
      </c>
      <c r="B43" s="682" t="s">
        <v>513</v>
      </c>
      <c r="C43" s="102">
        <v>22</v>
      </c>
      <c r="D43" s="102" t="s">
        <v>1021</v>
      </c>
      <c r="E43" s="102">
        <v>2201</v>
      </c>
      <c r="F43" s="682" t="s">
        <v>379</v>
      </c>
      <c r="G43" s="102">
        <v>2201017</v>
      </c>
      <c r="H43" s="682" t="s">
        <v>1101</v>
      </c>
      <c r="I43" s="102">
        <v>220101700</v>
      </c>
      <c r="J43" s="682" t="s">
        <v>1102</v>
      </c>
      <c r="K43" s="115">
        <v>35000</v>
      </c>
      <c r="L43" s="115"/>
      <c r="M43" s="115">
        <v>35000</v>
      </c>
      <c r="N43" s="101">
        <v>2024003630023</v>
      </c>
      <c r="O43" s="682" t="s">
        <v>1103</v>
      </c>
      <c r="P43" s="683" t="s">
        <v>1109</v>
      </c>
      <c r="Q43" s="139">
        <v>678450000</v>
      </c>
      <c r="R43" s="138"/>
      <c r="S43" s="139"/>
      <c r="T43" s="951">
        <v>678450000</v>
      </c>
      <c r="U43" s="454">
        <f t="shared" si="1"/>
        <v>0</v>
      </c>
      <c r="V43" s="612" t="s">
        <v>1110</v>
      </c>
      <c r="W43" s="23" t="s">
        <v>385</v>
      </c>
      <c r="X43" s="28" t="s">
        <v>1027</v>
      </c>
      <c r="Y43" s="612">
        <v>16858</v>
      </c>
      <c r="Z43" s="612">
        <v>17663</v>
      </c>
      <c r="AA43" s="612">
        <v>26731</v>
      </c>
      <c r="AB43" s="612">
        <v>6574</v>
      </c>
      <c r="AC43" s="612">
        <v>877</v>
      </c>
      <c r="AD43" s="612">
        <v>339</v>
      </c>
      <c r="AE43" s="612">
        <v>411</v>
      </c>
      <c r="AF43" s="612">
        <v>333</v>
      </c>
      <c r="AG43" s="612">
        <v>1</v>
      </c>
      <c r="AH43" s="612">
        <v>0</v>
      </c>
      <c r="AI43" s="612">
        <v>0</v>
      </c>
      <c r="AJ43" s="612">
        <v>0</v>
      </c>
      <c r="AK43" s="612">
        <v>0</v>
      </c>
      <c r="AL43" s="612">
        <v>1684</v>
      </c>
      <c r="AM43" s="612">
        <v>4038</v>
      </c>
      <c r="AN43" s="612">
        <f t="shared" si="2"/>
        <v>34521</v>
      </c>
      <c r="AO43" s="106">
        <v>46023</v>
      </c>
      <c r="AP43" s="106">
        <v>46387</v>
      </c>
      <c r="AQ43" s="110" t="s">
        <v>1028</v>
      </c>
    </row>
    <row r="44" spans="1:43" ht="74.25" hidden="1" customHeight="1">
      <c r="A44" s="102">
        <v>1</v>
      </c>
      <c r="B44" s="682" t="s">
        <v>513</v>
      </c>
      <c r="C44" s="102">
        <v>22</v>
      </c>
      <c r="D44" s="102" t="s">
        <v>1021</v>
      </c>
      <c r="E44" s="102">
        <v>2201</v>
      </c>
      <c r="F44" s="682" t="s">
        <v>379</v>
      </c>
      <c r="G44" s="102">
        <v>2201028</v>
      </c>
      <c r="H44" s="682" t="s">
        <v>1111</v>
      </c>
      <c r="I44" s="102">
        <v>220102800</v>
      </c>
      <c r="J44" s="682" t="s">
        <v>1112</v>
      </c>
      <c r="K44" s="115">
        <v>4540360</v>
      </c>
      <c r="L44" s="115"/>
      <c r="M44" s="115">
        <v>4540360</v>
      </c>
      <c r="N44" s="101">
        <v>2024003630023</v>
      </c>
      <c r="O44" s="682" t="s">
        <v>1103</v>
      </c>
      <c r="P44" s="683" t="s">
        <v>1113</v>
      </c>
      <c r="Q44" s="940">
        <f>15172076484-15172076484</f>
        <v>0</v>
      </c>
      <c r="R44" s="138"/>
      <c r="S44" s="139"/>
      <c r="T44" s="139"/>
      <c r="U44" s="454">
        <f t="shared" si="1"/>
        <v>0</v>
      </c>
      <c r="V44" s="612" t="s">
        <v>1114</v>
      </c>
      <c r="W44" s="23" t="s">
        <v>1115</v>
      </c>
      <c r="X44" s="28" t="s">
        <v>1116</v>
      </c>
      <c r="Y44" s="612">
        <v>16858</v>
      </c>
      <c r="Z44" s="612">
        <v>17663</v>
      </c>
      <c r="AA44" s="612">
        <v>26731</v>
      </c>
      <c r="AB44" s="612">
        <v>6574</v>
      </c>
      <c r="AC44" s="612">
        <v>877</v>
      </c>
      <c r="AD44" s="612">
        <v>339</v>
      </c>
      <c r="AE44" s="612">
        <v>411</v>
      </c>
      <c r="AF44" s="612">
        <v>333</v>
      </c>
      <c r="AG44" s="612">
        <v>1</v>
      </c>
      <c r="AH44" s="612">
        <v>0</v>
      </c>
      <c r="AI44" s="612">
        <v>0</v>
      </c>
      <c r="AJ44" s="612">
        <v>0</v>
      </c>
      <c r="AK44" s="612">
        <v>0</v>
      </c>
      <c r="AL44" s="612">
        <v>1684</v>
      </c>
      <c r="AM44" s="612">
        <v>4038</v>
      </c>
      <c r="AN44" s="612">
        <f t="shared" si="2"/>
        <v>34521</v>
      </c>
      <c r="AO44" s="106">
        <v>46023</v>
      </c>
      <c r="AP44" s="106">
        <v>46387</v>
      </c>
      <c r="AQ44" s="110" t="s">
        <v>1028</v>
      </c>
    </row>
    <row r="45" spans="1:43" ht="74.25" hidden="1" customHeight="1">
      <c r="A45" s="102">
        <v>1</v>
      </c>
      <c r="B45" s="682" t="s">
        <v>513</v>
      </c>
      <c r="C45" s="102">
        <v>22</v>
      </c>
      <c r="D45" s="102" t="s">
        <v>1021</v>
      </c>
      <c r="E45" s="102">
        <v>2201</v>
      </c>
      <c r="F45" s="682" t="s">
        <v>379</v>
      </c>
      <c r="G45" s="102">
        <v>2201028</v>
      </c>
      <c r="H45" s="682" t="s">
        <v>1111</v>
      </c>
      <c r="I45" s="102">
        <v>220102800</v>
      </c>
      <c r="J45" s="682" t="s">
        <v>1112</v>
      </c>
      <c r="K45" s="115">
        <v>4540360</v>
      </c>
      <c r="L45" s="115"/>
      <c r="M45" s="115">
        <v>4540360</v>
      </c>
      <c r="N45" s="101">
        <v>2024003630023</v>
      </c>
      <c r="O45" s="682" t="s">
        <v>1103</v>
      </c>
      <c r="P45" s="941" t="s">
        <v>1117</v>
      </c>
      <c r="Q45" s="940">
        <f>15172076484+9102444812</f>
        <v>24274521296</v>
      </c>
      <c r="R45" s="138">
        <v>21662513384.709999</v>
      </c>
      <c r="S45" s="139"/>
      <c r="T45" s="139"/>
      <c r="U45" s="454">
        <f>+Q45-R45+S45-T45</f>
        <v>2612007911.2900009</v>
      </c>
      <c r="V45" s="612" t="s">
        <v>1118</v>
      </c>
      <c r="W45" s="23" t="s">
        <v>1115</v>
      </c>
      <c r="X45" s="28" t="s">
        <v>1116</v>
      </c>
      <c r="Y45" s="612">
        <v>16858</v>
      </c>
      <c r="Z45" s="612">
        <v>17663</v>
      </c>
      <c r="AA45" s="612">
        <v>26731</v>
      </c>
      <c r="AB45" s="612">
        <v>6574</v>
      </c>
      <c r="AC45" s="612">
        <v>877</v>
      </c>
      <c r="AD45" s="612">
        <v>339</v>
      </c>
      <c r="AE45" s="612">
        <v>411</v>
      </c>
      <c r="AF45" s="612">
        <v>333</v>
      </c>
      <c r="AG45" s="612">
        <v>1</v>
      </c>
      <c r="AH45" s="612">
        <v>0</v>
      </c>
      <c r="AI45" s="612">
        <v>0</v>
      </c>
      <c r="AJ45" s="612">
        <v>0</v>
      </c>
      <c r="AK45" s="612">
        <v>0</v>
      </c>
      <c r="AL45" s="612">
        <v>1684</v>
      </c>
      <c r="AM45" s="612">
        <v>4038</v>
      </c>
      <c r="AN45" s="612">
        <f t="shared" ref="AN45" si="3">SUM(Y45:Z45)</f>
        <v>34521</v>
      </c>
      <c r="AO45" s="106">
        <v>46023</v>
      </c>
      <c r="AP45" s="106">
        <v>46387</v>
      </c>
      <c r="AQ45" s="110" t="s">
        <v>1028</v>
      </c>
    </row>
    <row r="46" spans="1:43" ht="74.25" hidden="1" customHeight="1">
      <c r="A46" s="102">
        <v>1</v>
      </c>
      <c r="B46" s="682" t="s">
        <v>513</v>
      </c>
      <c r="C46" s="102">
        <v>22</v>
      </c>
      <c r="D46" s="102" t="s">
        <v>1021</v>
      </c>
      <c r="E46" s="102">
        <v>2201</v>
      </c>
      <c r="F46" s="682" t="s">
        <v>379</v>
      </c>
      <c r="G46" s="102">
        <v>2201028</v>
      </c>
      <c r="H46" s="682" t="s">
        <v>1111</v>
      </c>
      <c r="I46" s="102">
        <v>220102800</v>
      </c>
      <c r="J46" s="682" t="s">
        <v>1112</v>
      </c>
      <c r="K46" s="115">
        <v>4540360</v>
      </c>
      <c r="L46" s="115"/>
      <c r="M46" s="115">
        <v>4540360</v>
      </c>
      <c r="N46" s="101">
        <v>2024003630023</v>
      </c>
      <c r="O46" s="682" t="s">
        <v>1103</v>
      </c>
      <c r="P46" s="683" t="s">
        <v>1119</v>
      </c>
      <c r="Q46" s="940">
        <f>850000000-850000000</f>
        <v>0</v>
      </c>
      <c r="R46" s="138"/>
      <c r="S46" s="139"/>
      <c r="T46" s="139"/>
      <c r="U46" s="454">
        <f t="shared" si="1"/>
        <v>0</v>
      </c>
      <c r="V46" s="612" t="s">
        <v>1120</v>
      </c>
      <c r="W46" s="23" t="s">
        <v>1115</v>
      </c>
      <c r="X46" s="28" t="s">
        <v>1116</v>
      </c>
      <c r="Y46" s="612">
        <v>16858</v>
      </c>
      <c r="Z46" s="612">
        <v>17663</v>
      </c>
      <c r="AA46" s="612">
        <v>26731</v>
      </c>
      <c r="AB46" s="612">
        <v>6574</v>
      </c>
      <c r="AC46" s="612">
        <v>877</v>
      </c>
      <c r="AD46" s="612">
        <v>339</v>
      </c>
      <c r="AE46" s="612">
        <v>411</v>
      </c>
      <c r="AF46" s="612">
        <v>333</v>
      </c>
      <c r="AG46" s="612">
        <v>1</v>
      </c>
      <c r="AH46" s="612">
        <v>0</v>
      </c>
      <c r="AI46" s="612">
        <v>0</v>
      </c>
      <c r="AJ46" s="612">
        <v>0</v>
      </c>
      <c r="AK46" s="612">
        <v>0</v>
      </c>
      <c r="AL46" s="612">
        <v>1684</v>
      </c>
      <c r="AM46" s="612">
        <v>4038</v>
      </c>
      <c r="AN46" s="612">
        <f t="shared" si="2"/>
        <v>34521</v>
      </c>
      <c r="AO46" s="106">
        <v>46023</v>
      </c>
      <c r="AP46" s="106">
        <v>46387</v>
      </c>
      <c r="AQ46" s="110" t="s">
        <v>1028</v>
      </c>
    </row>
    <row r="47" spans="1:43" ht="74.25" hidden="1" customHeight="1">
      <c r="A47" s="102">
        <v>1</v>
      </c>
      <c r="B47" s="682" t="s">
        <v>513</v>
      </c>
      <c r="C47" s="102">
        <v>22</v>
      </c>
      <c r="D47" s="102" t="s">
        <v>1021</v>
      </c>
      <c r="E47" s="102">
        <v>2201</v>
      </c>
      <c r="F47" s="682" t="s">
        <v>379</v>
      </c>
      <c r="G47" s="102">
        <v>2201028</v>
      </c>
      <c r="H47" s="682" t="s">
        <v>1111</v>
      </c>
      <c r="I47" s="102">
        <v>220102800</v>
      </c>
      <c r="J47" s="682" t="s">
        <v>1112</v>
      </c>
      <c r="K47" s="115">
        <v>4540360</v>
      </c>
      <c r="L47" s="115"/>
      <c r="M47" s="115">
        <v>4540360</v>
      </c>
      <c r="N47" s="101">
        <v>2024003630023</v>
      </c>
      <c r="O47" s="682" t="s">
        <v>1103</v>
      </c>
      <c r="P47" s="941" t="s">
        <v>1121</v>
      </c>
      <c r="Q47" s="940">
        <v>850000000</v>
      </c>
      <c r="R47" s="138">
        <f>14800000+14800000+14800000+14800000+14800000+12000000+14800000+14800000+14800000+14800000+12000000+16000000+14800000+14800000+14800000+16000000+14800000+14800000+14800000+14800000+12000000+14800000+14800000</f>
        <v>334400000</v>
      </c>
      <c r="S47" s="139"/>
      <c r="T47" s="139"/>
      <c r="U47" s="454">
        <f t="shared" si="1"/>
        <v>515600000</v>
      </c>
      <c r="V47" s="612" t="s">
        <v>1122</v>
      </c>
      <c r="W47" s="23" t="s">
        <v>1115</v>
      </c>
      <c r="X47" s="28" t="s">
        <v>1116</v>
      </c>
      <c r="Y47" s="612">
        <v>16858</v>
      </c>
      <c r="Z47" s="612">
        <v>17663</v>
      </c>
      <c r="AA47" s="612">
        <v>26731</v>
      </c>
      <c r="AB47" s="612">
        <v>6574</v>
      </c>
      <c r="AC47" s="612">
        <v>877</v>
      </c>
      <c r="AD47" s="612">
        <v>339</v>
      </c>
      <c r="AE47" s="612">
        <v>411</v>
      </c>
      <c r="AF47" s="612">
        <v>333</v>
      </c>
      <c r="AG47" s="612">
        <v>1</v>
      </c>
      <c r="AH47" s="612">
        <v>0</v>
      </c>
      <c r="AI47" s="612">
        <v>0</v>
      </c>
      <c r="AJ47" s="612">
        <v>0</v>
      </c>
      <c r="AK47" s="612">
        <v>0</v>
      </c>
      <c r="AL47" s="612">
        <v>1684</v>
      </c>
      <c r="AM47" s="612">
        <v>4038</v>
      </c>
      <c r="AN47" s="612">
        <f t="shared" ref="AN47" si="4">SUM(Y47:Z47)</f>
        <v>34521</v>
      </c>
      <c r="AO47" s="106">
        <v>46023</v>
      </c>
      <c r="AP47" s="106">
        <v>46387</v>
      </c>
      <c r="AQ47" s="110" t="s">
        <v>1028</v>
      </c>
    </row>
    <row r="48" spans="1:43" ht="74.25" hidden="1" customHeight="1">
      <c r="A48" s="102">
        <v>1</v>
      </c>
      <c r="B48" s="682" t="s">
        <v>513</v>
      </c>
      <c r="C48" s="102">
        <v>22</v>
      </c>
      <c r="D48" s="102" t="s">
        <v>1021</v>
      </c>
      <c r="E48" s="102">
        <v>2201</v>
      </c>
      <c r="F48" s="682" t="s">
        <v>379</v>
      </c>
      <c r="G48" s="102">
        <v>2201028</v>
      </c>
      <c r="H48" s="682" t="s">
        <v>1111</v>
      </c>
      <c r="I48" s="102">
        <v>220102800</v>
      </c>
      <c r="J48" s="682" t="s">
        <v>1112</v>
      </c>
      <c r="K48" s="115">
        <v>4540360</v>
      </c>
      <c r="L48" s="115"/>
      <c r="M48" s="115">
        <v>4540360</v>
      </c>
      <c r="N48" s="101">
        <v>2024003630023</v>
      </c>
      <c r="O48" s="682" t="s">
        <v>1103</v>
      </c>
      <c r="P48" s="683" t="s">
        <v>1123</v>
      </c>
      <c r="Q48" s="139">
        <v>370000000</v>
      </c>
      <c r="R48" s="138">
        <f>179315709</f>
        <v>179315709</v>
      </c>
      <c r="S48" s="139"/>
      <c r="T48" s="139"/>
      <c r="U48" s="454">
        <f t="shared" si="1"/>
        <v>190684291</v>
      </c>
      <c r="V48" s="612" t="s">
        <v>1124</v>
      </c>
      <c r="W48" s="23" t="s">
        <v>385</v>
      </c>
      <c r="X48" s="28" t="s">
        <v>1027</v>
      </c>
      <c r="Y48" s="612">
        <v>16858</v>
      </c>
      <c r="Z48" s="612">
        <v>17663</v>
      </c>
      <c r="AA48" s="612">
        <v>26731</v>
      </c>
      <c r="AB48" s="612">
        <v>6574</v>
      </c>
      <c r="AC48" s="612">
        <v>877</v>
      </c>
      <c r="AD48" s="612">
        <v>339</v>
      </c>
      <c r="AE48" s="612">
        <v>411</v>
      </c>
      <c r="AF48" s="612">
        <v>333</v>
      </c>
      <c r="AG48" s="612">
        <v>1</v>
      </c>
      <c r="AH48" s="612">
        <v>0</v>
      </c>
      <c r="AI48" s="612">
        <v>0</v>
      </c>
      <c r="AJ48" s="612">
        <v>0</v>
      </c>
      <c r="AK48" s="612">
        <v>0</v>
      </c>
      <c r="AL48" s="612">
        <v>1684</v>
      </c>
      <c r="AM48" s="612">
        <v>4038</v>
      </c>
      <c r="AN48" s="612">
        <f t="shared" si="2"/>
        <v>34521</v>
      </c>
      <c r="AO48" s="106">
        <v>46023</v>
      </c>
      <c r="AP48" s="106">
        <v>46387</v>
      </c>
      <c r="AQ48" s="110" t="s">
        <v>1028</v>
      </c>
    </row>
    <row r="49" spans="1:43" ht="74.25" hidden="1" customHeight="1">
      <c r="A49" s="102">
        <v>1</v>
      </c>
      <c r="B49" s="682" t="s">
        <v>513</v>
      </c>
      <c r="C49" s="102">
        <v>22</v>
      </c>
      <c r="D49" s="102" t="s">
        <v>1021</v>
      </c>
      <c r="E49" s="102">
        <v>2201</v>
      </c>
      <c r="F49" s="682" t="s">
        <v>379</v>
      </c>
      <c r="G49" s="102">
        <v>2201029</v>
      </c>
      <c r="H49" s="682" t="s">
        <v>1125</v>
      </c>
      <c r="I49" s="102">
        <v>220102900</v>
      </c>
      <c r="J49" s="682" t="s">
        <v>1126</v>
      </c>
      <c r="K49" s="115">
        <v>2500</v>
      </c>
      <c r="L49" s="115"/>
      <c r="M49" s="115">
        <v>2500</v>
      </c>
      <c r="N49" s="101">
        <v>2024003630023</v>
      </c>
      <c r="O49" s="682" t="s">
        <v>1103</v>
      </c>
      <c r="P49" s="683" t="s">
        <v>1127</v>
      </c>
      <c r="Q49" s="139">
        <v>1800000</v>
      </c>
      <c r="R49" s="138"/>
      <c r="S49" s="139"/>
      <c r="T49" s="139"/>
      <c r="U49" s="454">
        <f t="shared" si="1"/>
        <v>1800000</v>
      </c>
      <c r="V49" s="612" t="s">
        <v>1128</v>
      </c>
      <c r="W49" s="23" t="s">
        <v>385</v>
      </c>
      <c r="X49" s="28" t="s">
        <v>1027</v>
      </c>
      <c r="Y49" s="612">
        <v>16858</v>
      </c>
      <c r="Z49" s="612">
        <v>17663</v>
      </c>
      <c r="AA49" s="612">
        <v>26731</v>
      </c>
      <c r="AB49" s="612">
        <v>6574</v>
      </c>
      <c r="AC49" s="612">
        <v>877</v>
      </c>
      <c r="AD49" s="612">
        <v>339</v>
      </c>
      <c r="AE49" s="612">
        <v>411</v>
      </c>
      <c r="AF49" s="612">
        <v>333</v>
      </c>
      <c r="AG49" s="612">
        <v>1</v>
      </c>
      <c r="AH49" s="612">
        <v>0</v>
      </c>
      <c r="AI49" s="612">
        <v>0</v>
      </c>
      <c r="AJ49" s="612">
        <v>0</v>
      </c>
      <c r="AK49" s="612">
        <v>0</v>
      </c>
      <c r="AL49" s="612">
        <v>1684</v>
      </c>
      <c r="AM49" s="612">
        <v>4038</v>
      </c>
      <c r="AN49" s="612">
        <f t="shared" si="2"/>
        <v>34521</v>
      </c>
      <c r="AO49" s="106">
        <v>46023</v>
      </c>
      <c r="AP49" s="106">
        <v>46387</v>
      </c>
      <c r="AQ49" s="110" t="s">
        <v>1028</v>
      </c>
    </row>
    <row r="50" spans="1:43" ht="74.25" hidden="1" customHeight="1">
      <c r="A50" s="102">
        <v>1</v>
      </c>
      <c r="B50" s="682" t="s">
        <v>513</v>
      </c>
      <c r="C50" s="102">
        <v>22</v>
      </c>
      <c r="D50" s="102" t="s">
        <v>1021</v>
      </c>
      <c r="E50" s="102">
        <v>2201</v>
      </c>
      <c r="F50" s="682" t="s">
        <v>379</v>
      </c>
      <c r="G50" s="102">
        <v>2201029</v>
      </c>
      <c r="H50" s="682" t="s">
        <v>1125</v>
      </c>
      <c r="I50" s="102">
        <v>220102900</v>
      </c>
      <c r="J50" s="682" t="s">
        <v>1126</v>
      </c>
      <c r="K50" s="115">
        <v>2500</v>
      </c>
      <c r="L50" s="115"/>
      <c r="M50" s="115">
        <v>2500</v>
      </c>
      <c r="N50" s="101">
        <v>2024003630023</v>
      </c>
      <c r="O50" s="682" t="s">
        <v>1103</v>
      </c>
      <c r="P50" s="683" t="s">
        <v>1129</v>
      </c>
      <c r="Q50" s="139">
        <v>2000000</v>
      </c>
      <c r="R50" s="138"/>
      <c r="S50" s="139"/>
      <c r="T50" s="139"/>
      <c r="U50" s="454">
        <f t="shared" si="1"/>
        <v>2000000</v>
      </c>
      <c r="V50" s="612" t="s">
        <v>1130</v>
      </c>
      <c r="W50" s="23" t="s">
        <v>385</v>
      </c>
      <c r="X50" s="28" t="s">
        <v>1027</v>
      </c>
      <c r="Y50" s="612">
        <v>16858</v>
      </c>
      <c r="Z50" s="612">
        <v>17663</v>
      </c>
      <c r="AA50" s="612">
        <v>26731</v>
      </c>
      <c r="AB50" s="612">
        <v>6574</v>
      </c>
      <c r="AC50" s="612">
        <v>877</v>
      </c>
      <c r="AD50" s="612">
        <v>339</v>
      </c>
      <c r="AE50" s="612">
        <v>411</v>
      </c>
      <c r="AF50" s="612">
        <v>333</v>
      </c>
      <c r="AG50" s="612">
        <v>1</v>
      </c>
      <c r="AH50" s="612">
        <v>0</v>
      </c>
      <c r="AI50" s="612">
        <v>0</v>
      </c>
      <c r="AJ50" s="612">
        <v>0</v>
      </c>
      <c r="AK50" s="612">
        <v>0</v>
      </c>
      <c r="AL50" s="612">
        <v>1684</v>
      </c>
      <c r="AM50" s="612">
        <v>4038</v>
      </c>
      <c r="AN50" s="612">
        <f t="shared" si="2"/>
        <v>34521</v>
      </c>
      <c r="AO50" s="106">
        <v>46023</v>
      </c>
      <c r="AP50" s="106">
        <v>46387</v>
      </c>
      <c r="AQ50" s="110" t="s">
        <v>1028</v>
      </c>
    </row>
    <row r="51" spans="1:43" ht="74.25" hidden="1" customHeight="1">
      <c r="A51" s="102">
        <v>1</v>
      </c>
      <c r="B51" s="682" t="s">
        <v>513</v>
      </c>
      <c r="C51" s="102">
        <v>22</v>
      </c>
      <c r="D51" s="102" t="s">
        <v>1021</v>
      </c>
      <c r="E51" s="102">
        <v>2201</v>
      </c>
      <c r="F51" s="682" t="s">
        <v>379</v>
      </c>
      <c r="G51" s="102">
        <v>2201029</v>
      </c>
      <c r="H51" s="682" t="s">
        <v>1125</v>
      </c>
      <c r="I51" s="102">
        <v>220102900</v>
      </c>
      <c r="J51" s="682" t="s">
        <v>1126</v>
      </c>
      <c r="K51" s="115">
        <v>2500</v>
      </c>
      <c r="L51" s="115"/>
      <c r="M51" s="115">
        <v>2500</v>
      </c>
      <c r="N51" s="101">
        <v>2024003630023</v>
      </c>
      <c r="O51" s="682" t="s">
        <v>1103</v>
      </c>
      <c r="P51" s="683" t="s">
        <v>1131</v>
      </c>
      <c r="Q51" s="139">
        <v>1800000</v>
      </c>
      <c r="R51" s="138"/>
      <c r="S51" s="139"/>
      <c r="T51" s="139"/>
      <c r="U51" s="454">
        <f t="shared" si="1"/>
        <v>1800000</v>
      </c>
      <c r="V51" s="612" t="s">
        <v>1132</v>
      </c>
      <c r="W51" s="23" t="s">
        <v>385</v>
      </c>
      <c r="X51" s="28" t="s">
        <v>1027</v>
      </c>
      <c r="Y51" s="612">
        <v>16858</v>
      </c>
      <c r="Z51" s="612">
        <v>17663</v>
      </c>
      <c r="AA51" s="612">
        <v>26731</v>
      </c>
      <c r="AB51" s="612">
        <v>6574</v>
      </c>
      <c r="AC51" s="612">
        <v>877</v>
      </c>
      <c r="AD51" s="612">
        <v>339</v>
      </c>
      <c r="AE51" s="612">
        <v>411</v>
      </c>
      <c r="AF51" s="612">
        <v>333</v>
      </c>
      <c r="AG51" s="612">
        <v>1</v>
      </c>
      <c r="AH51" s="612">
        <v>0</v>
      </c>
      <c r="AI51" s="612">
        <v>0</v>
      </c>
      <c r="AJ51" s="612">
        <v>0</v>
      </c>
      <c r="AK51" s="612">
        <v>0</v>
      </c>
      <c r="AL51" s="612">
        <v>1684</v>
      </c>
      <c r="AM51" s="612">
        <v>4038</v>
      </c>
      <c r="AN51" s="612">
        <f t="shared" si="2"/>
        <v>34521</v>
      </c>
      <c r="AO51" s="106">
        <v>46023</v>
      </c>
      <c r="AP51" s="106">
        <v>46387</v>
      </c>
      <c r="AQ51" s="110" t="s">
        <v>1028</v>
      </c>
    </row>
    <row r="52" spans="1:43" ht="74.25" hidden="1" customHeight="1">
      <c r="A52" s="102">
        <v>1</v>
      </c>
      <c r="B52" s="682" t="s">
        <v>513</v>
      </c>
      <c r="C52" s="102">
        <v>22</v>
      </c>
      <c r="D52" s="102" t="s">
        <v>1021</v>
      </c>
      <c r="E52" s="102">
        <v>2201</v>
      </c>
      <c r="F52" s="682" t="s">
        <v>379</v>
      </c>
      <c r="G52" s="102">
        <v>2201029</v>
      </c>
      <c r="H52" s="682" t="s">
        <v>1125</v>
      </c>
      <c r="I52" s="102">
        <v>220102900</v>
      </c>
      <c r="J52" s="682" t="s">
        <v>1126</v>
      </c>
      <c r="K52" s="115">
        <v>2500</v>
      </c>
      <c r="L52" s="115"/>
      <c r="M52" s="115">
        <v>2500</v>
      </c>
      <c r="N52" s="101">
        <v>2024003630023</v>
      </c>
      <c r="O52" s="682" t="s">
        <v>1103</v>
      </c>
      <c r="P52" s="683" t="s">
        <v>1133</v>
      </c>
      <c r="Q52" s="139">
        <v>1800000</v>
      </c>
      <c r="R52" s="138"/>
      <c r="S52" s="139"/>
      <c r="T52" s="139"/>
      <c r="U52" s="454">
        <f t="shared" si="1"/>
        <v>1800000</v>
      </c>
      <c r="V52" s="612" t="s">
        <v>1134</v>
      </c>
      <c r="W52" s="23" t="s">
        <v>385</v>
      </c>
      <c r="X52" s="28" t="s">
        <v>1027</v>
      </c>
      <c r="Y52" s="612">
        <v>16858</v>
      </c>
      <c r="Z52" s="612">
        <v>17663</v>
      </c>
      <c r="AA52" s="612">
        <v>26731</v>
      </c>
      <c r="AB52" s="612">
        <v>6574</v>
      </c>
      <c r="AC52" s="612">
        <v>877</v>
      </c>
      <c r="AD52" s="612">
        <v>339</v>
      </c>
      <c r="AE52" s="612">
        <v>411</v>
      </c>
      <c r="AF52" s="612">
        <v>333</v>
      </c>
      <c r="AG52" s="612">
        <v>1</v>
      </c>
      <c r="AH52" s="612">
        <v>0</v>
      </c>
      <c r="AI52" s="612">
        <v>0</v>
      </c>
      <c r="AJ52" s="612">
        <v>0</v>
      </c>
      <c r="AK52" s="612">
        <v>0</v>
      </c>
      <c r="AL52" s="612">
        <v>1684</v>
      </c>
      <c r="AM52" s="612">
        <v>4038</v>
      </c>
      <c r="AN52" s="612">
        <f t="shared" si="2"/>
        <v>34521</v>
      </c>
      <c r="AO52" s="106">
        <v>46023</v>
      </c>
      <c r="AP52" s="106">
        <v>46387</v>
      </c>
      <c r="AQ52" s="110" t="s">
        <v>1028</v>
      </c>
    </row>
    <row r="53" spans="1:43" ht="74.25" hidden="1" customHeight="1">
      <c r="A53" s="102">
        <v>1</v>
      </c>
      <c r="B53" s="682" t="s">
        <v>513</v>
      </c>
      <c r="C53" s="102">
        <v>22</v>
      </c>
      <c r="D53" s="102" t="s">
        <v>1021</v>
      </c>
      <c r="E53" s="102">
        <v>2201</v>
      </c>
      <c r="F53" s="682" t="s">
        <v>379</v>
      </c>
      <c r="G53" s="102">
        <v>2201029</v>
      </c>
      <c r="H53" s="682" t="s">
        <v>1125</v>
      </c>
      <c r="I53" s="102">
        <v>220102900</v>
      </c>
      <c r="J53" s="682" t="s">
        <v>1126</v>
      </c>
      <c r="K53" s="115">
        <v>2500</v>
      </c>
      <c r="L53" s="115"/>
      <c r="M53" s="115">
        <v>2500</v>
      </c>
      <c r="N53" s="101">
        <v>2024003630023</v>
      </c>
      <c r="O53" s="682" t="s">
        <v>1103</v>
      </c>
      <c r="P53" s="683" t="s">
        <v>1135</v>
      </c>
      <c r="Q53" s="139">
        <v>1800000</v>
      </c>
      <c r="R53" s="138"/>
      <c r="S53" s="139"/>
      <c r="T53" s="139"/>
      <c r="U53" s="454">
        <f t="shared" si="1"/>
        <v>1800000</v>
      </c>
      <c r="V53" s="612" t="s">
        <v>1136</v>
      </c>
      <c r="W53" s="23" t="s">
        <v>385</v>
      </c>
      <c r="X53" s="28" t="s">
        <v>1027</v>
      </c>
      <c r="Y53" s="612">
        <v>16858</v>
      </c>
      <c r="Z53" s="612">
        <v>17663</v>
      </c>
      <c r="AA53" s="612">
        <v>26731</v>
      </c>
      <c r="AB53" s="612">
        <v>6574</v>
      </c>
      <c r="AC53" s="612">
        <v>877</v>
      </c>
      <c r="AD53" s="612">
        <v>339</v>
      </c>
      <c r="AE53" s="612">
        <v>411</v>
      </c>
      <c r="AF53" s="612">
        <v>333</v>
      </c>
      <c r="AG53" s="612">
        <v>1</v>
      </c>
      <c r="AH53" s="612">
        <v>0</v>
      </c>
      <c r="AI53" s="612">
        <v>0</v>
      </c>
      <c r="AJ53" s="612">
        <v>0</v>
      </c>
      <c r="AK53" s="612">
        <v>0</v>
      </c>
      <c r="AL53" s="612">
        <v>1684</v>
      </c>
      <c r="AM53" s="612">
        <v>4038</v>
      </c>
      <c r="AN53" s="612">
        <f t="shared" si="2"/>
        <v>34521</v>
      </c>
      <c r="AO53" s="106">
        <v>46023</v>
      </c>
      <c r="AP53" s="106">
        <v>46387</v>
      </c>
      <c r="AQ53" s="110" t="s">
        <v>1028</v>
      </c>
    </row>
    <row r="54" spans="1:43" ht="74.25" hidden="1" customHeight="1">
      <c r="A54" s="102">
        <v>1</v>
      </c>
      <c r="B54" s="682" t="s">
        <v>513</v>
      </c>
      <c r="C54" s="102">
        <v>22</v>
      </c>
      <c r="D54" s="102" t="s">
        <v>1021</v>
      </c>
      <c r="E54" s="102">
        <v>2201</v>
      </c>
      <c r="F54" s="682" t="s">
        <v>379</v>
      </c>
      <c r="G54" s="102">
        <v>2201029</v>
      </c>
      <c r="H54" s="682" t="s">
        <v>1125</v>
      </c>
      <c r="I54" s="102">
        <v>220102900</v>
      </c>
      <c r="J54" s="682" t="s">
        <v>1126</v>
      </c>
      <c r="K54" s="115">
        <v>2500</v>
      </c>
      <c r="L54" s="115"/>
      <c r="M54" s="115">
        <v>2500</v>
      </c>
      <c r="N54" s="101">
        <v>2024003630023</v>
      </c>
      <c r="O54" s="682" t="s">
        <v>1103</v>
      </c>
      <c r="P54" s="683" t="s">
        <v>1137</v>
      </c>
      <c r="Q54" s="139">
        <v>1800000</v>
      </c>
      <c r="R54" s="138"/>
      <c r="S54" s="139"/>
      <c r="T54" s="139"/>
      <c r="U54" s="454">
        <f t="shared" si="1"/>
        <v>1800000</v>
      </c>
      <c r="V54" s="612" t="s">
        <v>1138</v>
      </c>
      <c r="W54" s="23" t="s">
        <v>385</v>
      </c>
      <c r="X54" s="28" t="s">
        <v>1027</v>
      </c>
      <c r="Y54" s="612">
        <v>16858</v>
      </c>
      <c r="Z54" s="612">
        <v>17663</v>
      </c>
      <c r="AA54" s="612">
        <v>26731</v>
      </c>
      <c r="AB54" s="612">
        <v>6574</v>
      </c>
      <c r="AC54" s="612">
        <v>877</v>
      </c>
      <c r="AD54" s="612">
        <v>339</v>
      </c>
      <c r="AE54" s="612">
        <v>411</v>
      </c>
      <c r="AF54" s="612">
        <v>333</v>
      </c>
      <c r="AG54" s="612">
        <v>1</v>
      </c>
      <c r="AH54" s="612">
        <v>0</v>
      </c>
      <c r="AI54" s="612">
        <v>0</v>
      </c>
      <c r="AJ54" s="612">
        <v>0</v>
      </c>
      <c r="AK54" s="612">
        <v>0</v>
      </c>
      <c r="AL54" s="612">
        <v>1684</v>
      </c>
      <c r="AM54" s="612">
        <v>4038</v>
      </c>
      <c r="AN54" s="612">
        <f t="shared" si="2"/>
        <v>34521</v>
      </c>
      <c r="AO54" s="106">
        <v>46023</v>
      </c>
      <c r="AP54" s="106">
        <v>46387</v>
      </c>
      <c r="AQ54" s="110" t="s">
        <v>1028</v>
      </c>
    </row>
    <row r="55" spans="1:43" ht="74.25" hidden="1" customHeight="1">
      <c r="A55" s="102">
        <v>1</v>
      </c>
      <c r="B55" s="682" t="s">
        <v>513</v>
      </c>
      <c r="C55" s="102">
        <v>22</v>
      </c>
      <c r="D55" s="102" t="s">
        <v>1021</v>
      </c>
      <c r="E55" s="102">
        <v>2201</v>
      </c>
      <c r="F55" s="682" t="s">
        <v>379</v>
      </c>
      <c r="G55" s="102">
        <v>2201029</v>
      </c>
      <c r="H55" s="682" t="s">
        <v>1125</v>
      </c>
      <c r="I55" s="102">
        <v>220102900</v>
      </c>
      <c r="J55" s="682" t="s">
        <v>1126</v>
      </c>
      <c r="K55" s="115">
        <v>2500</v>
      </c>
      <c r="L55" s="115"/>
      <c r="M55" s="115">
        <v>2500</v>
      </c>
      <c r="N55" s="101">
        <v>2024003630023</v>
      </c>
      <c r="O55" s="682" t="s">
        <v>1103</v>
      </c>
      <c r="P55" s="683" t="s">
        <v>1139</v>
      </c>
      <c r="Q55" s="139">
        <v>1800000</v>
      </c>
      <c r="R55" s="138"/>
      <c r="S55" s="139"/>
      <c r="T55" s="139"/>
      <c r="U55" s="454">
        <f t="shared" si="1"/>
        <v>1800000</v>
      </c>
      <c r="V55" s="612" t="s">
        <v>1140</v>
      </c>
      <c r="W55" s="23" t="s">
        <v>385</v>
      </c>
      <c r="X55" s="28" t="s">
        <v>1027</v>
      </c>
      <c r="Y55" s="612">
        <v>16858</v>
      </c>
      <c r="Z55" s="612">
        <v>17663</v>
      </c>
      <c r="AA55" s="612">
        <v>26731</v>
      </c>
      <c r="AB55" s="612">
        <v>6574</v>
      </c>
      <c r="AC55" s="612">
        <v>877</v>
      </c>
      <c r="AD55" s="612">
        <v>339</v>
      </c>
      <c r="AE55" s="612">
        <v>411</v>
      </c>
      <c r="AF55" s="612">
        <v>333</v>
      </c>
      <c r="AG55" s="612">
        <v>1</v>
      </c>
      <c r="AH55" s="612">
        <v>0</v>
      </c>
      <c r="AI55" s="612">
        <v>0</v>
      </c>
      <c r="AJ55" s="612">
        <v>0</v>
      </c>
      <c r="AK55" s="612">
        <v>0</v>
      </c>
      <c r="AL55" s="612">
        <v>1684</v>
      </c>
      <c r="AM55" s="612">
        <v>4038</v>
      </c>
      <c r="AN55" s="612">
        <f t="shared" si="2"/>
        <v>34521</v>
      </c>
      <c r="AO55" s="106">
        <v>46023</v>
      </c>
      <c r="AP55" s="106">
        <v>46387</v>
      </c>
      <c r="AQ55" s="110" t="s">
        <v>1028</v>
      </c>
    </row>
    <row r="56" spans="1:43" ht="74.25" hidden="1" customHeight="1">
      <c r="A56" s="102">
        <v>1</v>
      </c>
      <c r="B56" s="682" t="s">
        <v>513</v>
      </c>
      <c r="C56" s="102">
        <v>22</v>
      </c>
      <c r="D56" s="102" t="s">
        <v>1021</v>
      </c>
      <c r="E56" s="102">
        <v>2201</v>
      </c>
      <c r="F56" s="682" t="s">
        <v>379</v>
      </c>
      <c r="G56" s="102">
        <v>2201029</v>
      </c>
      <c r="H56" s="682" t="s">
        <v>1125</v>
      </c>
      <c r="I56" s="102">
        <v>220102900</v>
      </c>
      <c r="J56" s="682" t="s">
        <v>1126</v>
      </c>
      <c r="K56" s="115">
        <v>2500</v>
      </c>
      <c r="L56" s="115"/>
      <c r="M56" s="115">
        <v>2500</v>
      </c>
      <c r="N56" s="101">
        <v>2024003630023</v>
      </c>
      <c r="O56" s="682" t="s">
        <v>1103</v>
      </c>
      <c r="P56" s="683" t="s">
        <v>1141</v>
      </c>
      <c r="Q56" s="139">
        <v>1800000</v>
      </c>
      <c r="R56" s="138"/>
      <c r="S56" s="139"/>
      <c r="T56" s="139"/>
      <c r="U56" s="454">
        <f t="shared" si="1"/>
        <v>1800000</v>
      </c>
      <c r="V56" s="612" t="s">
        <v>1142</v>
      </c>
      <c r="W56" s="23" t="s">
        <v>385</v>
      </c>
      <c r="X56" s="28" t="s">
        <v>1027</v>
      </c>
      <c r="Y56" s="612">
        <v>16858</v>
      </c>
      <c r="Z56" s="612">
        <v>17663</v>
      </c>
      <c r="AA56" s="612">
        <v>26731</v>
      </c>
      <c r="AB56" s="612">
        <v>6574</v>
      </c>
      <c r="AC56" s="612">
        <v>877</v>
      </c>
      <c r="AD56" s="612">
        <v>339</v>
      </c>
      <c r="AE56" s="612">
        <v>411</v>
      </c>
      <c r="AF56" s="612">
        <v>333</v>
      </c>
      <c r="AG56" s="612">
        <v>1</v>
      </c>
      <c r="AH56" s="612">
        <v>0</v>
      </c>
      <c r="AI56" s="612">
        <v>0</v>
      </c>
      <c r="AJ56" s="612">
        <v>0</v>
      </c>
      <c r="AK56" s="612">
        <v>0</v>
      </c>
      <c r="AL56" s="612">
        <v>1684</v>
      </c>
      <c r="AM56" s="612">
        <v>4038</v>
      </c>
      <c r="AN56" s="612">
        <f t="shared" si="2"/>
        <v>34521</v>
      </c>
      <c r="AO56" s="106">
        <v>46023</v>
      </c>
      <c r="AP56" s="106">
        <v>46387</v>
      </c>
      <c r="AQ56" s="110" t="s">
        <v>1028</v>
      </c>
    </row>
    <row r="57" spans="1:43" ht="74.25" hidden="1" customHeight="1">
      <c r="A57" s="102">
        <v>1</v>
      </c>
      <c r="B57" s="682" t="s">
        <v>513</v>
      </c>
      <c r="C57" s="102">
        <v>22</v>
      </c>
      <c r="D57" s="102" t="s">
        <v>1021</v>
      </c>
      <c r="E57" s="102">
        <v>2201</v>
      </c>
      <c r="F57" s="682" t="s">
        <v>379</v>
      </c>
      <c r="G57" s="102">
        <v>2201029</v>
      </c>
      <c r="H57" s="682" t="s">
        <v>1125</v>
      </c>
      <c r="I57" s="102">
        <v>220102900</v>
      </c>
      <c r="J57" s="682" t="s">
        <v>1126</v>
      </c>
      <c r="K57" s="115">
        <v>2500</v>
      </c>
      <c r="L57" s="115"/>
      <c r="M57" s="115">
        <v>2500</v>
      </c>
      <c r="N57" s="101">
        <v>2024003630023</v>
      </c>
      <c r="O57" s="682" t="s">
        <v>1103</v>
      </c>
      <c r="P57" s="683" t="s">
        <v>1143</v>
      </c>
      <c r="Q57" s="139">
        <v>1800000</v>
      </c>
      <c r="R57" s="138"/>
      <c r="S57" s="139"/>
      <c r="T57" s="139"/>
      <c r="U57" s="454">
        <f t="shared" si="1"/>
        <v>1800000</v>
      </c>
      <c r="V57" s="612" t="s">
        <v>1144</v>
      </c>
      <c r="W57" s="23" t="s">
        <v>385</v>
      </c>
      <c r="X57" s="28" t="s">
        <v>1027</v>
      </c>
      <c r="Y57" s="612">
        <v>16858</v>
      </c>
      <c r="Z57" s="612">
        <v>17663</v>
      </c>
      <c r="AA57" s="612">
        <v>26731</v>
      </c>
      <c r="AB57" s="612">
        <v>6574</v>
      </c>
      <c r="AC57" s="612">
        <v>877</v>
      </c>
      <c r="AD57" s="612">
        <v>339</v>
      </c>
      <c r="AE57" s="612">
        <v>411</v>
      </c>
      <c r="AF57" s="612">
        <v>333</v>
      </c>
      <c r="AG57" s="612">
        <v>1</v>
      </c>
      <c r="AH57" s="612">
        <v>0</v>
      </c>
      <c r="AI57" s="612">
        <v>0</v>
      </c>
      <c r="AJ57" s="612">
        <v>0</v>
      </c>
      <c r="AK57" s="612">
        <v>0</v>
      </c>
      <c r="AL57" s="612">
        <v>1684</v>
      </c>
      <c r="AM57" s="612">
        <v>4038</v>
      </c>
      <c r="AN57" s="612">
        <f t="shared" si="2"/>
        <v>34521</v>
      </c>
      <c r="AO57" s="106">
        <v>46023</v>
      </c>
      <c r="AP57" s="106">
        <v>46387</v>
      </c>
      <c r="AQ57" s="110" t="s">
        <v>1028</v>
      </c>
    </row>
    <row r="58" spans="1:43" ht="74.25" hidden="1" customHeight="1">
      <c r="A58" s="102">
        <v>1</v>
      </c>
      <c r="B58" s="682" t="s">
        <v>513</v>
      </c>
      <c r="C58" s="102">
        <v>22</v>
      </c>
      <c r="D58" s="102" t="s">
        <v>1021</v>
      </c>
      <c r="E58" s="102">
        <v>2201</v>
      </c>
      <c r="F58" s="682" t="s">
        <v>379</v>
      </c>
      <c r="G58" s="102">
        <v>2201029</v>
      </c>
      <c r="H58" s="682" t="s">
        <v>1125</v>
      </c>
      <c r="I58" s="102">
        <v>220102900</v>
      </c>
      <c r="J58" s="682" t="s">
        <v>1126</v>
      </c>
      <c r="K58" s="115">
        <v>2500</v>
      </c>
      <c r="L58" s="115"/>
      <c r="M58" s="115">
        <v>2500</v>
      </c>
      <c r="N58" s="101">
        <v>2024003630023</v>
      </c>
      <c r="O58" s="682" t="s">
        <v>1103</v>
      </c>
      <c r="P58" s="683" t="s">
        <v>1145</v>
      </c>
      <c r="Q58" s="139">
        <v>1800000</v>
      </c>
      <c r="R58" s="138"/>
      <c r="S58" s="139"/>
      <c r="T58" s="139"/>
      <c r="U58" s="454">
        <f t="shared" si="1"/>
        <v>1800000</v>
      </c>
      <c r="V58" s="612" t="s">
        <v>1146</v>
      </c>
      <c r="W58" s="23" t="s">
        <v>385</v>
      </c>
      <c r="X58" s="28" t="s">
        <v>1027</v>
      </c>
      <c r="Y58" s="612">
        <v>16858</v>
      </c>
      <c r="Z58" s="612">
        <v>17663</v>
      </c>
      <c r="AA58" s="612">
        <v>26731</v>
      </c>
      <c r="AB58" s="612">
        <v>6574</v>
      </c>
      <c r="AC58" s="612">
        <v>877</v>
      </c>
      <c r="AD58" s="612">
        <v>339</v>
      </c>
      <c r="AE58" s="612">
        <v>411</v>
      </c>
      <c r="AF58" s="612">
        <v>333</v>
      </c>
      <c r="AG58" s="612">
        <v>1</v>
      </c>
      <c r="AH58" s="612">
        <v>0</v>
      </c>
      <c r="AI58" s="612">
        <v>0</v>
      </c>
      <c r="AJ58" s="612">
        <v>0</v>
      </c>
      <c r="AK58" s="612">
        <v>0</v>
      </c>
      <c r="AL58" s="612">
        <v>1684</v>
      </c>
      <c r="AM58" s="612">
        <v>4038</v>
      </c>
      <c r="AN58" s="612">
        <f t="shared" si="2"/>
        <v>34521</v>
      </c>
      <c r="AO58" s="106">
        <v>46023</v>
      </c>
      <c r="AP58" s="106">
        <v>46387</v>
      </c>
      <c r="AQ58" s="110" t="s">
        <v>1028</v>
      </c>
    </row>
    <row r="59" spans="1:43" ht="74.25" hidden="1" customHeight="1">
      <c r="A59" s="102">
        <v>1</v>
      </c>
      <c r="B59" s="682" t="s">
        <v>513</v>
      </c>
      <c r="C59" s="102">
        <v>22</v>
      </c>
      <c r="D59" s="102" t="s">
        <v>1021</v>
      </c>
      <c r="E59" s="102">
        <v>2201</v>
      </c>
      <c r="F59" s="682" t="s">
        <v>379</v>
      </c>
      <c r="G59" s="102">
        <v>2201029</v>
      </c>
      <c r="H59" s="682" t="s">
        <v>1125</v>
      </c>
      <c r="I59" s="102">
        <v>220102900</v>
      </c>
      <c r="J59" s="682" t="s">
        <v>1126</v>
      </c>
      <c r="K59" s="115">
        <v>2500</v>
      </c>
      <c r="L59" s="115"/>
      <c r="M59" s="115">
        <v>2500</v>
      </c>
      <c r="N59" s="101">
        <v>2024003630023</v>
      </c>
      <c r="O59" s="682" t="s">
        <v>1103</v>
      </c>
      <c r="P59" s="683" t="s">
        <v>1147</v>
      </c>
      <c r="Q59" s="139">
        <v>1800000</v>
      </c>
      <c r="R59" s="138"/>
      <c r="S59" s="139"/>
      <c r="T59" s="139"/>
      <c r="U59" s="454">
        <f t="shared" si="1"/>
        <v>1800000</v>
      </c>
      <c r="V59" s="612" t="s">
        <v>1148</v>
      </c>
      <c r="W59" s="23" t="s">
        <v>385</v>
      </c>
      <c r="X59" s="28" t="s">
        <v>1027</v>
      </c>
      <c r="Y59" s="612">
        <v>16858</v>
      </c>
      <c r="Z59" s="612">
        <v>17663</v>
      </c>
      <c r="AA59" s="612">
        <v>26731</v>
      </c>
      <c r="AB59" s="612">
        <v>6574</v>
      </c>
      <c r="AC59" s="612">
        <v>877</v>
      </c>
      <c r="AD59" s="612">
        <v>339</v>
      </c>
      <c r="AE59" s="612">
        <v>411</v>
      </c>
      <c r="AF59" s="612">
        <v>333</v>
      </c>
      <c r="AG59" s="612">
        <v>1</v>
      </c>
      <c r="AH59" s="612">
        <v>0</v>
      </c>
      <c r="AI59" s="612">
        <v>0</v>
      </c>
      <c r="AJ59" s="612">
        <v>0</v>
      </c>
      <c r="AK59" s="612">
        <v>0</v>
      </c>
      <c r="AL59" s="612">
        <v>1684</v>
      </c>
      <c r="AM59" s="612">
        <v>4038</v>
      </c>
      <c r="AN59" s="612">
        <f t="shared" si="2"/>
        <v>34521</v>
      </c>
      <c r="AO59" s="106">
        <v>46023</v>
      </c>
      <c r="AP59" s="106">
        <v>46387</v>
      </c>
      <c r="AQ59" s="110" t="s">
        <v>1028</v>
      </c>
    </row>
    <row r="60" spans="1:43" ht="74.25" hidden="1" customHeight="1">
      <c r="A60" s="102">
        <v>1</v>
      </c>
      <c r="B60" s="682" t="s">
        <v>513</v>
      </c>
      <c r="C60" s="102">
        <v>22</v>
      </c>
      <c r="D60" s="102" t="s">
        <v>1021</v>
      </c>
      <c r="E60" s="102">
        <v>2201</v>
      </c>
      <c r="F60" s="682" t="s">
        <v>379</v>
      </c>
      <c r="G60" s="102">
        <v>2201030</v>
      </c>
      <c r="H60" s="682" t="s">
        <v>1149</v>
      </c>
      <c r="I60" s="102">
        <v>220103000</v>
      </c>
      <c r="J60" s="682" t="s">
        <v>1150</v>
      </c>
      <c r="K60" s="115">
        <v>2540</v>
      </c>
      <c r="L60" s="115"/>
      <c r="M60" s="115">
        <v>2540</v>
      </c>
      <c r="N60" s="101">
        <v>2024003630023</v>
      </c>
      <c r="O60" s="682" t="s">
        <v>1103</v>
      </c>
      <c r="P60" s="683" t="s">
        <v>1151</v>
      </c>
      <c r="Q60" s="940">
        <f>858735523.3-858735523.3</f>
        <v>0</v>
      </c>
      <c r="R60" s="138"/>
      <c r="S60" s="139"/>
      <c r="T60" s="139"/>
      <c r="U60" s="454">
        <f t="shared" si="1"/>
        <v>0</v>
      </c>
      <c r="V60" s="612" t="s">
        <v>1152</v>
      </c>
      <c r="W60" s="23" t="s">
        <v>1081</v>
      </c>
      <c r="X60" s="28" t="s">
        <v>1082</v>
      </c>
      <c r="Y60" s="612">
        <v>16858</v>
      </c>
      <c r="Z60" s="612">
        <v>17663</v>
      </c>
      <c r="AA60" s="612">
        <v>26731</v>
      </c>
      <c r="AB60" s="612">
        <v>6574</v>
      </c>
      <c r="AC60" s="612">
        <v>877</v>
      </c>
      <c r="AD60" s="612">
        <v>339</v>
      </c>
      <c r="AE60" s="612">
        <v>411</v>
      </c>
      <c r="AF60" s="612">
        <v>333</v>
      </c>
      <c r="AG60" s="612">
        <v>1</v>
      </c>
      <c r="AH60" s="612">
        <v>0</v>
      </c>
      <c r="AI60" s="612">
        <v>0</v>
      </c>
      <c r="AJ60" s="612">
        <v>0</v>
      </c>
      <c r="AK60" s="612">
        <v>0</v>
      </c>
      <c r="AL60" s="612">
        <v>1684</v>
      </c>
      <c r="AM60" s="612">
        <v>4038</v>
      </c>
      <c r="AN60" s="612">
        <f t="shared" si="2"/>
        <v>34521</v>
      </c>
      <c r="AO60" s="106">
        <v>46023</v>
      </c>
      <c r="AP60" s="106">
        <v>46387</v>
      </c>
      <c r="AQ60" s="110" t="s">
        <v>1028</v>
      </c>
    </row>
    <row r="61" spans="1:43" ht="74.25" hidden="1" customHeight="1">
      <c r="A61" s="102">
        <v>1</v>
      </c>
      <c r="B61" s="682" t="s">
        <v>513</v>
      </c>
      <c r="C61" s="102">
        <v>22</v>
      </c>
      <c r="D61" s="102" t="s">
        <v>1021</v>
      </c>
      <c r="E61" s="102">
        <v>2201</v>
      </c>
      <c r="F61" s="682" t="s">
        <v>379</v>
      </c>
      <c r="G61" s="102">
        <v>2201030</v>
      </c>
      <c r="H61" s="682" t="s">
        <v>1149</v>
      </c>
      <c r="I61" s="102">
        <v>220103000</v>
      </c>
      <c r="J61" s="682" t="s">
        <v>1150</v>
      </c>
      <c r="K61" s="115">
        <v>2540</v>
      </c>
      <c r="L61" s="115"/>
      <c r="M61" s="115">
        <v>2540</v>
      </c>
      <c r="N61" s="101">
        <v>2024003630023</v>
      </c>
      <c r="O61" s="682" t="s">
        <v>1103</v>
      </c>
      <c r="P61" s="941" t="s">
        <v>1153</v>
      </c>
      <c r="Q61" s="940">
        <f>858735523.3+752199134.7</f>
        <v>1610934658</v>
      </c>
      <c r="R61" s="138">
        <f>14800000+14800000+14800000+14800000+14800000+14800000+17200000+17200000+14800000+14800000+14800000+14800000+14800000+14800000+14800000+14800000+14800000+14800000+14800000+14800000+14800000+14800000+14800000+14800000+14800000+17200000+14800000+14800000+14800000</f>
        <v>436400000</v>
      </c>
      <c r="S61" s="139"/>
      <c r="T61" s="139"/>
      <c r="U61" s="454">
        <f t="shared" si="1"/>
        <v>1174534658</v>
      </c>
      <c r="V61" s="612" t="s">
        <v>1154</v>
      </c>
      <c r="W61" s="23" t="s">
        <v>1081</v>
      </c>
      <c r="X61" s="28" t="s">
        <v>1082</v>
      </c>
      <c r="Y61" s="612">
        <v>16858</v>
      </c>
      <c r="Z61" s="612">
        <v>17663</v>
      </c>
      <c r="AA61" s="612">
        <v>26731</v>
      </c>
      <c r="AB61" s="612">
        <v>6574</v>
      </c>
      <c r="AC61" s="612">
        <v>877</v>
      </c>
      <c r="AD61" s="612">
        <v>339</v>
      </c>
      <c r="AE61" s="612">
        <v>411</v>
      </c>
      <c r="AF61" s="612">
        <v>333</v>
      </c>
      <c r="AG61" s="612">
        <v>1</v>
      </c>
      <c r="AH61" s="612">
        <v>0</v>
      </c>
      <c r="AI61" s="612">
        <v>0</v>
      </c>
      <c r="AJ61" s="612">
        <v>0</v>
      </c>
      <c r="AK61" s="612">
        <v>0</v>
      </c>
      <c r="AL61" s="612">
        <v>1684</v>
      </c>
      <c r="AM61" s="612">
        <v>4038</v>
      </c>
      <c r="AN61" s="612">
        <f t="shared" ref="AN61" si="5">SUM(Y61:Z61)</f>
        <v>34521</v>
      </c>
      <c r="AO61" s="106">
        <v>46023</v>
      </c>
      <c r="AP61" s="106">
        <v>46387</v>
      </c>
      <c r="AQ61" s="110" t="s">
        <v>1028</v>
      </c>
    </row>
    <row r="62" spans="1:43" ht="74.25" hidden="1" customHeight="1">
      <c r="A62" s="102">
        <v>1</v>
      </c>
      <c r="B62" s="682" t="s">
        <v>513</v>
      </c>
      <c r="C62" s="102">
        <v>22</v>
      </c>
      <c r="D62" s="102" t="s">
        <v>1021</v>
      </c>
      <c r="E62" s="102">
        <v>2201</v>
      </c>
      <c r="F62" s="682" t="s">
        <v>379</v>
      </c>
      <c r="G62" s="102">
        <v>2201030</v>
      </c>
      <c r="H62" s="682" t="s">
        <v>1149</v>
      </c>
      <c r="I62" s="102">
        <v>220103000</v>
      </c>
      <c r="J62" s="682" t="s">
        <v>1150</v>
      </c>
      <c r="K62" s="115">
        <v>2540</v>
      </c>
      <c r="L62" s="115"/>
      <c r="M62" s="115">
        <v>2540</v>
      </c>
      <c r="N62" s="101">
        <v>2024003630023</v>
      </c>
      <c r="O62" s="682" t="s">
        <v>1103</v>
      </c>
      <c r="P62" s="683" t="s">
        <v>1155</v>
      </c>
      <c r="Q62" s="940">
        <f>300000000-300000000</f>
        <v>0</v>
      </c>
      <c r="R62" s="138"/>
      <c r="S62" s="139"/>
      <c r="T62" s="139"/>
      <c r="U62" s="454">
        <f t="shared" si="1"/>
        <v>0</v>
      </c>
      <c r="V62" s="612" t="s">
        <v>1152</v>
      </c>
      <c r="W62" s="23" t="s">
        <v>1081</v>
      </c>
      <c r="X62" s="28" t="s">
        <v>1082</v>
      </c>
      <c r="Y62" s="612">
        <v>16858</v>
      </c>
      <c r="Z62" s="612">
        <v>17663</v>
      </c>
      <c r="AA62" s="612">
        <v>26731</v>
      </c>
      <c r="AB62" s="612">
        <v>6574</v>
      </c>
      <c r="AC62" s="612">
        <v>877</v>
      </c>
      <c r="AD62" s="612">
        <v>339</v>
      </c>
      <c r="AE62" s="612">
        <v>411</v>
      </c>
      <c r="AF62" s="612">
        <v>333</v>
      </c>
      <c r="AG62" s="612">
        <v>1</v>
      </c>
      <c r="AH62" s="612">
        <v>0</v>
      </c>
      <c r="AI62" s="612">
        <v>0</v>
      </c>
      <c r="AJ62" s="612">
        <v>0</v>
      </c>
      <c r="AK62" s="612">
        <v>0</v>
      </c>
      <c r="AL62" s="612">
        <v>1684</v>
      </c>
      <c r="AM62" s="612">
        <v>4038</v>
      </c>
      <c r="AN62" s="612">
        <f t="shared" si="2"/>
        <v>34521</v>
      </c>
      <c r="AO62" s="106">
        <v>46023</v>
      </c>
      <c r="AP62" s="106">
        <v>46387</v>
      </c>
      <c r="AQ62" s="110" t="s">
        <v>1028</v>
      </c>
    </row>
    <row r="63" spans="1:43" ht="74.25" hidden="1" customHeight="1">
      <c r="A63" s="102">
        <v>1</v>
      </c>
      <c r="B63" s="682" t="s">
        <v>513</v>
      </c>
      <c r="C63" s="102">
        <v>22</v>
      </c>
      <c r="D63" s="102" t="s">
        <v>1021</v>
      </c>
      <c r="E63" s="102">
        <v>2201</v>
      </c>
      <c r="F63" s="682" t="s">
        <v>379</v>
      </c>
      <c r="G63" s="102">
        <v>2201030</v>
      </c>
      <c r="H63" s="682" t="s">
        <v>1149</v>
      </c>
      <c r="I63" s="102">
        <v>220103000</v>
      </c>
      <c r="J63" s="682" t="s">
        <v>1150</v>
      </c>
      <c r="K63" s="115">
        <v>2540</v>
      </c>
      <c r="L63" s="115"/>
      <c r="M63" s="115">
        <v>2540</v>
      </c>
      <c r="N63" s="101">
        <v>2024003630023</v>
      </c>
      <c r="O63" s="682" t="s">
        <v>1103</v>
      </c>
      <c r="P63" s="941" t="s">
        <v>1156</v>
      </c>
      <c r="Q63" s="940">
        <v>300000000</v>
      </c>
      <c r="R63" s="138">
        <f>14800000+14800000+14800000+14800000+14800000+15600000+14800000</f>
        <v>104400000</v>
      </c>
      <c r="S63" s="139"/>
      <c r="T63" s="139"/>
      <c r="U63" s="454">
        <f t="shared" si="1"/>
        <v>195600000</v>
      </c>
      <c r="V63" s="612" t="s">
        <v>1154</v>
      </c>
      <c r="W63" s="23" t="s">
        <v>1081</v>
      </c>
      <c r="X63" s="28" t="s">
        <v>1082</v>
      </c>
      <c r="Y63" s="612">
        <v>16858</v>
      </c>
      <c r="Z63" s="612">
        <v>17663</v>
      </c>
      <c r="AA63" s="612">
        <v>26731</v>
      </c>
      <c r="AB63" s="612">
        <v>6574</v>
      </c>
      <c r="AC63" s="612">
        <v>877</v>
      </c>
      <c r="AD63" s="612">
        <v>339</v>
      </c>
      <c r="AE63" s="612">
        <v>411</v>
      </c>
      <c r="AF63" s="612">
        <v>333</v>
      </c>
      <c r="AG63" s="612">
        <v>1</v>
      </c>
      <c r="AH63" s="612">
        <v>0</v>
      </c>
      <c r="AI63" s="612">
        <v>0</v>
      </c>
      <c r="AJ63" s="612">
        <v>0</v>
      </c>
      <c r="AK63" s="612">
        <v>0</v>
      </c>
      <c r="AL63" s="612">
        <v>1684</v>
      </c>
      <c r="AM63" s="612">
        <v>4038</v>
      </c>
      <c r="AN63" s="612">
        <f t="shared" ref="AN63" si="6">SUM(Y63:Z63)</f>
        <v>34521</v>
      </c>
      <c r="AO63" s="106">
        <v>46023</v>
      </c>
      <c r="AP63" s="106">
        <v>46387</v>
      </c>
      <c r="AQ63" s="110" t="s">
        <v>1028</v>
      </c>
    </row>
    <row r="64" spans="1:43" ht="74.25" hidden="1" customHeight="1">
      <c r="A64" s="102">
        <v>1</v>
      </c>
      <c r="B64" s="682" t="s">
        <v>513</v>
      </c>
      <c r="C64" s="102">
        <v>22</v>
      </c>
      <c r="D64" s="102" t="s">
        <v>1021</v>
      </c>
      <c r="E64" s="102">
        <v>2201</v>
      </c>
      <c r="F64" s="682" t="s">
        <v>379</v>
      </c>
      <c r="G64" s="102">
        <v>2201032</v>
      </c>
      <c r="H64" s="682" t="s">
        <v>1157</v>
      </c>
      <c r="I64" s="102">
        <v>220103200</v>
      </c>
      <c r="J64" s="682" t="s">
        <v>1158</v>
      </c>
      <c r="K64" s="115">
        <v>400</v>
      </c>
      <c r="L64" s="115"/>
      <c r="M64" s="115">
        <v>400</v>
      </c>
      <c r="N64" s="101">
        <v>2024003630023</v>
      </c>
      <c r="O64" s="682" t="s">
        <v>1103</v>
      </c>
      <c r="P64" s="683" t="s">
        <v>1159</v>
      </c>
      <c r="Q64" s="139">
        <v>100000000</v>
      </c>
      <c r="R64" s="138">
        <f>14800000+14800000+14800000</f>
        <v>44400000</v>
      </c>
      <c r="S64" s="139"/>
      <c r="T64" s="139"/>
      <c r="U64" s="454">
        <f t="shared" si="1"/>
        <v>55600000</v>
      </c>
      <c r="V64" s="612" t="s">
        <v>1160</v>
      </c>
      <c r="W64" s="23" t="s">
        <v>385</v>
      </c>
      <c r="X64" s="28" t="s">
        <v>1027</v>
      </c>
      <c r="Y64" s="612">
        <v>16858</v>
      </c>
      <c r="Z64" s="612">
        <v>17663</v>
      </c>
      <c r="AA64" s="612">
        <v>26731</v>
      </c>
      <c r="AB64" s="612">
        <v>6574</v>
      </c>
      <c r="AC64" s="612">
        <v>877</v>
      </c>
      <c r="AD64" s="612">
        <v>339</v>
      </c>
      <c r="AE64" s="612">
        <v>411</v>
      </c>
      <c r="AF64" s="612">
        <v>333</v>
      </c>
      <c r="AG64" s="612">
        <v>1</v>
      </c>
      <c r="AH64" s="612">
        <v>0</v>
      </c>
      <c r="AI64" s="612">
        <v>0</v>
      </c>
      <c r="AJ64" s="612">
        <v>0</v>
      </c>
      <c r="AK64" s="612">
        <v>0</v>
      </c>
      <c r="AL64" s="612">
        <v>1684</v>
      </c>
      <c r="AM64" s="612">
        <v>4038</v>
      </c>
      <c r="AN64" s="612">
        <f t="shared" si="2"/>
        <v>34521</v>
      </c>
      <c r="AO64" s="106">
        <v>46023</v>
      </c>
      <c r="AP64" s="106">
        <v>46387</v>
      </c>
      <c r="AQ64" s="110" t="s">
        <v>1028</v>
      </c>
    </row>
    <row r="65" spans="1:43" ht="74.25" hidden="1" customHeight="1">
      <c r="A65" s="102">
        <v>1</v>
      </c>
      <c r="B65" s="682" t="s">
        <v>513</v>
      </c>
      <c r="C65" s="102">
        <v>22</v>
      </c>
      <c r="D65" s="102" t="s">
        <v>1021</v>
      </c>
      <c r="E65" s="102">
        <v>2201</v>
      </c>
      <c r="F65" s="682" t="s">
        <v>379</v>
      </c>
      <c r="G65" s="102">
        <v>2201062</v>
      </c>
      <c r="H65" s="682" t="s">
        <v>1161</v>
      </c>
      <c r="I65" s="102">
        <v>220106200</v>
      </c>
      <c r="J65" s="682" t="s">
        <v>1162</v>
      </c>
      <c r="K65" s="115">
        <v>20</v>
      </c>
      <c r="L65" s="115"/>
      <c r="M65" s="115">
        <v>20</v>
      </c>
      <c r="N65" s="101">
        <v>2024003630023</v>
      </c>
      <c r="O65" s="682" t="s">
        <v>1103</v>
      </c>
      <c r="P65" s="683" t="s">
        <v>1163</v>
      </c>
      <c r="Q65" s="139">
        <v>70000000</v>
      </c>
      <c r="R65" s="138">
        <v>14800000</v>
      </c>
      <c r="S65" s="139"/>
      <c r="T65" s="139"/>
      <c r="U65" s="454">
        <f t="shared" si="1"/>
        <v>55200000</v>
      </c>
      <c r="V65" s="612" t="s">
        <v>1164</v>
      </c>
      <c r="W65" s="23" t="s">
        <v>385</v>
      </c>
      <c r="X65" s="28" t="s">
        <v>1027</v>
      </c>
      <c r="Y65" s="612">
        <v>16858</v>
      </c>
      <c r="Z65" s="612">
        <v>17663</v>
      </c>
      <c r="AA65" s="612">
        <v>26731</v>
      </c>
      <c r="AB65" s="612">
        <v>6574</v>
      </c>
      <c r="AC65" s="612">
        <v>877</v>
      </c>
      <c r="AD65" s="612">
        <v>339</v>
      </c>
      <c r="AE65" s="612">
        <v>411</v>
      </c>
      <c r="AF65" s="612">
        <v>333</v>
      </c>
      <c r="AG65" s="612">
        <v>1</v>
      </c>
      <c r="AH65" s="612">
        <v>0</v>
      </c>
      <c r="AI65" s="612">
        <v>0</v>
      </c>
      <c r="AJ65" s="612">
        <v>0</v>
      </c>
      <c r="AK65" s="612">
        <v>0</v>
      </c>
      <c r="AL65" s="612">
        <v>1684</v>
      </c>
      <c r="AM65" s="612">
        <v>4038</v>
      </c>
      <c r="AN65" s="612">
        <f t="shared" si="2"/>
        <v>34521</v>
      </c>
      <c r="AO65" s="106">
        <v>46023</v>
      </c>
      <c r="AP65" s="106">
        <v>46387</v>
      </c>
      <c r="AQ65" s="110" t="s">
        <v>1028</v>
      </c>
    </row>
    <row r="66" spans="1:43" ht="74.25" hidden="1" customHeight="1">
      <c r="A66" s="102">
        <v>1</v>
      </c>
      <c r="B66" s="682" t="s">
        <v>513</v>
      </c>
      <c r="C66" s="102">
        <v>22</v>
      </c>
      <c r="D66" s="102" t="s">
        <v>1021</v>
      </c>
      <c r="E66" s="102">
        <v>2201</v>
      </c>
      <c r="F66" s="682" t="s">
        <v>379</v>
      </c>
      <c r="G66" s="102">
        <v>2201062</v>
      </c>
      <c r="H66" s="682" t="s">
        <v>1161</v>
      </c>
      <c r="I66" s="102">
        <v>220106200</v>
      </c>
      <c r="J66" s="682" t="s">
        <v>1162</v>
      </c>
      <c r="K66" s="115">
        <v>20</v>
      </c>
      <c r="L66" s="115"/>
      <c r="M66" s="115">
        <v>20</v>
      </c>
      <c r="N66" s="101">
        <v>2024003630023</v>
      </c>
      <c r="O66" s="682" t="s">
        <v>1103</v>
      </c>
      <c r="P66" s="683" t="s">
        <v>1165</v>
      </c>
      <c r="Q66" s="139">
        <v>100000000</v>
      </c>
      <c r="R66" s="138"/>
      <c r="S66" s="139"/>
      <c r="T66" s="139"/>
      <c r="U66" s="454">
        <f t="shared" si="1"/>
        <v>100000000</v>
      </c>
      <c r="V66" s="612" t="s">
        <v>1166</v>
      </c>
      <c r="W66" s="23" t="s">
        <v>385</v>
      </c>
      <c r="X66" s="28" t="s">
        <v>1027</v>
      </c>
      <c r="Y66" s="612">
        <v>16858</v>
      </c>
      <c r="Z66" s="612">
        <v>17663</v>
      </c>
      <c r="AA66" s="612">
        <v>26731</v>
      </c>
      <c r="AB66" s="612">
        <v>6574</v>
      </c>
      <c r="AC66" s="612">
        <v>877</v>
      </c>
      <c r="AD66" s="612">
        <v>339</v>
      </c>
      <c r="AE66" s="612">
        <v>411</v>
      </c>
      <c r="AF66" s="612">
        <v>333</v>
      </c>
      <c r="AG66" s="612">
        <v>1</v>
      </c>
      <c r="AH66" s="612">
        <v>0</v>
      </c>
      <c r="AI66" s="612">
        <v>0</v>
      </c>
      <c r="AJ66" s="612">
        <v>0</v>
      </c>
      <c r="AK66" s="612">
        <v>0</v>
      </c>
      <c r="AL66" s="612">
        <v>1684</v>
      </c>
      <c r="AM66" s="612">
        <v>4038</v>
      </c>
      <c r="AN66" s="612">
        <f t="shared" si="2"/>
        <v>34521</v>
      </c>
      <c r="AO66" s="106">
        <v>46023</v>
      </c>
      <c r="AP66" s="106">
        <v>46387</v>
      </c>
      <c r="AQ66" s="110" t="s">
        <v>1028</v>
      </c>
    </row>
    <row r="67" spans="1:43" ht="74.25" hidden="1" customHeight="1">
      <c r="A67" s="102">
        <v>1</v>
      </c>
      <c r="B67" s="682" t="s">
        <v>513</v>
      </c>
      <c r="C67" s="102">
        <v>22</v>
      </c>
      <c r="D67" s="102" t="s">
        <v>1021</v>
      </c>
      <c r="E67" s="102">
        <v>2201</v>
      </c>
      <c r="F67" s="682" t="s">
        <v>379</v>
      </c>
      <c r="G67" s="102">
        <v>2201069</v>
      </c>
      <c r="H67" s="682" t="s">
        <v>1167</v>
      </c>
      <c r="I67" s="102">
        <v>220106900</v>
      </c>
      <c r="J67" s="682" t="s">
        <v>88</v>
      </c>
      <c r="K67" s="115">
        <v>30</v>
      </c>
      <c r="L67" s="115"/>
      <c r="M67" s="115">
        <v>30</v>
      </c>
      <c r="N67" s="101">
        <v>2024003630023</v>
      </c>
      <c r="O67" s="682" t="s">
        <v>1103</v>
      </c>
      <c r="P67" s="683" t="s">
        <v>1168</v>
      </c>
      <c r="Q67" s="139">
        <v>55000000</v>
      </c>
      <c r="R67" s="138"/>
      <c r="S67" s="139"/>
      <c r="T67" s="951">
        <v>55000000</v>
      </c>
      <c r="U67" s="454">
        <f t="shared" si="1"/>
        <v>0</v>
      </c>
      <c r="V67" s="612" t="s">
        <v>1169</v>
      </c>
      <c r="W67" s="23" t="s">
        <v>385</v>
      </c>
      <c r="X67" s="28" t="s">
        <v>1027</v>
      </c>
      <c r="Y67" s="612">
        <v>16858</v>
      </c>
      <c r="Z67" s="612">
        <v>17663</v>
      </c>
      <c r="AA67" s="612">
        <v>26731</v>
      </c>
      <c r="AB67" s="612">
        <v>6574</v>
      </c>
      <c r="AC67" s="612">
        <v>877</v>
      </c>
      <c r="AD67" s="612">
        <v>339</v>
      </c>
      <c r="AE67" s="612">
        <v>411</v>
      </c>
      <c r="AF67" s="612">
        <v>333</v>
      </c>
      <c r="AG67" s="612">
        <v>1</v>
      </c>
      <c r="AH67" s="612">
        <v>0</v>
      </c>
      <c r="AI67" s="612">
        <v>0</v>
      </c>
      <c r="AJ67" s="612">
        <v>0</v>
      </c>
      <c r="AK67" s="612">
        <v>0</v>
      </c>
      <c r="AL67" s="612">
        <v>1684</v>
      </c>
      <c r="AM67" s="612">
        <v>4038</v>
      </c>
      <c r="AN67" s="612">
        <f t="shared" si="2"/>
        <v>34521</v>
      </c>
      <c r="AO67" s="106">
        <v>46023</v>
      </c>
      <c r="AP67" s="106">
        <v>46387</v>
      </c>
      <c r="AQ67" s="110" t="s">
        <v>1028</v>
      </c>
    </row>
    <row r="68" spans="1:43" ht="74.25" hidden="1" customHeight="1">
      <c r="A68" s="102">
        <v>1</v>
      </c>
      <c r="B68" s="682" t="s">
        <v>513</v>
      </c>
      <c r="C68" s="102">
        <v>22</v>
      </c>
      <c r="D68" s="102" t="s">
        <v>1021</v>
      </c>
      <c r="E68" s="102">
        <v>2201</v>
      </c>
      <c r="F68" s="682" t="s">
        <v>379</v>
      </c>
      <c r="G68" s="102">
        <v>2201069</v>
      </c>
      <c r="H68" s="682" t="s">
        <v>1167</v>
      </c>
      <c r="I68" s="102">
        <v>220106900</v>
      </c>
      <c r="J68" s="682" t="s">
        <v>88</v>
      </c>
      <c r="K68" s="115">
        <v>30</v>
      </c>
      <c r="L68" s="115"/>
      <c r="M68" s="115">
        <v>30</v>
      </c>
      <c r="N68" s="101">
        <v>2024003630023</v>
      </c>
      <c r="O68" s="682" t="s">
        <v>1103</v>
      </c>
      <c r="P68" s="683" t="s">
        <v>1170</v>
      </c>
      <c r="Q68" s="940">
        <f>350917900-350917900</f>
        <v>0</v>
      </c>
      <c r="R68" s="138"/>
      <c r="S68" s="139"/>
      <c r="T68" s="139"/>
      <c r="U68" s="454">
        <f t="shared" si="1"/>
        <v>0</v>
      </c>
      <c r="V68" s="612" t="s">
        <v>1171</v>
      </c>
      <c r="W68" s="23" t="s">
        <v>1172</v>
      </c>
      <c r="X68" s="28" t="s">
        <v>1173</v>
      </c>
      <c r="Y68" s="612">
        <v>16858</v>
      </c>
      <c r="Z68" s="612">
        <v>17663</v>
      </c>
      <c r="AA68" s="612">
        <v>26731</v>
      </c>
      <c r="AB68" s="612">
        <v>6574</v>
      </c>
      <c r="AC68" s="612">
        <v>877</v>
      </c>
      <c r="AD68" s="612">
        <v>339</v>
      </c>
      <c r="AE68" s="612">
        <v>411</v>
      </c>
      <c r="AF68" s="612">
        <v>333</v>
      </c>
      <c r="AG68" s="612">
        <v>1</v>
      </c>
      <c r="AH68" s="612">
        <v>0</v>
      </c>
      <c r="AI68" s="612">
        <v>0</v>
      </c>
      <c r="AJ68" s="612">
        <v>0</v>
      </c>
      <c r="AK68" s="612">
        <v>0</v>
      </c>
      <c r="AL68" s="612">
        <v>1684</v>
      </c>
      <c r="AM68" s="612">
        <v>4038</v>
      </c>
      <c r="AN68" s="612">
        <f t="shared" si="2"/>
        <v>34521</v>
      </c>
      <c r="AO68" s="106">
        <v>46023</v>
      </c>
      <c r="AP68" s="106">
        <v>46387</v>
      </c>
      <c r="AQ68" s="110" t="s">
        <v>1028</v>
      </c>
    </row>
    <row r="69" spans="1:43" ht="74.25" hidden="1" customHeight="1">
      <c r="A69" s="102">
        <v>1</v>
      </c>
      <c r="B69" s="682" t="s">
        <v>513</v>
      </c>
      <c r="C69" s="102">
        <v>22</v>
      </c>
      <c r="D69" s="102" t="s">
        <v>1021</v>
      </c>
      <c r="E69" s="102">
        <v>2201</v>
      </c>
      <c r="F69" s="682" t="s">
        <v>379</v>
      </c>
      <c r="G69" s="102">
        <v>2201069</v>
      </c>
      <c r="H69" s="682" t="s">
        <v>1167</v>
      </c>
      <c r="I69" s="102">
        <v>220106900</v>
      </c>
      <c r="J69" s="682" t="s">
        <v>88</v>
      </c>
      <c r="K69" s="115">
        <v>30</v>
      </c>
      <c r="L69" s="115"/>
      <c r="M69" s="115">
        <v>30</v>
      </c>
      <c r="N69" s="101">
        <v>2024003630023</v>
      </c>
      <c r="O69" s="682" t="s">
        <v>1103</v>
      </c>
      <c r="P69" s="941" t="s">
        <v>1174</v>
      </c>
      <c r="Q69" s="940">
        <v>350917900</v>
      </c>
      <c r="R69" s="138"/>
      <c r="S69" s="139"/>
      <c r="T69" s="139"/>
      <c r="U69" s="454">
        <f t="shared" si="1"/>
        <v>350917900</v>
      </c>
      <c r="V69" s="612" t="s">
        <v>1175</v>
      </c>
      <c r="W69" s="23" t="s">
        <v>1172</v>
      </c>
      <c r="X69" s="28" t="s">
        <v>1173</v>
      </c>
      <c r="Y69" s="612">
        <v>16858</v>
      </c>
      <c r="Z69" s="612">
        <v>17663</v>
      </c>
      <c r="AA69" s="612">
        <v>26731</v>
      </c>
      <c r="AB69" s="612">
        <v>6574</v>
      </c>
      <c r="AC69" s="612">
        <v>877</v>
      </c>
      <c r="AD69" s="612">
        <v>339</v>
      </c>
      <c r="AE69" s="612">
        <v>411</v>
      </c>
      <c r="AF69" s="612">
        <v>333</v>
      </c>
      <c r="AG69" s="612">
        <v>1</v>
      </c>
      <c r="AH69" s="612">
        <v>0</v>
      </c>
      <c r="AI69" s="612">
        <v>0</v>
      </c>
      <c r="AJ69" s="612">
        <v>0</v>
      </c>
      <c r="AK69" s="612">
        <v>0</v>
      </c>
      <c r="AL69" s="612">
        <v>1684</v>
      </c>
      <c r="AM69" s="612">
        <v>4038</v>
      </c>
      <c r="AN69" s="612">
        <f t="shared" ref="AN69" si="7">SUM(Y69:Z69)</f>
        <v>34521</v>
      </c>
      <c r="AO69" s="106">
        <v>46023</v>
      </c>
      <c r="AP69" s="106">
        <v>46387</v>
      </c>
      <c r="AQ69" s="110" t="s">
        <v>1028</v>
      </c>
    </row>
    <row r="70" spans="1:43" ht="74.25" hidden="1" customHeight="1">
      <c r="A70" s="102">
        <v>1</v>
      </c>
      <c r="B70" s="682" t="s">
        <v>513</v>
      </c>
      <c r="C70" s="102">
        <v>22</v>
      </c>
      <c r="D70" s="102" t="s">
        <v>1021</v>
      </c>
      <c r="E70" s="102">
        <v>2201</v>
      </c>
      <c r="F70" s="682" t="s">
        <v>379</v>
      </c>
      <c r="G70" s="102">
        <v>2201069</v>
      </c>
      <c r="H70" s="682" t="s">
        <v>1167</v>
      </c>
      <c r="I70" s="102">
        <v>220106900</v>
      </c>
      <c r="J70" s="682" t="s">
        <v>88</v>
      </c>
      <c r="K70" s="115">
        <v>30</v>
      </c>
      <c r="L70" s="115"/>
      <c r="M70" s="115">
        <v>30</v>
      </c>
      <c r="N70" s="101">
        <v>2024003630023</v>
      </c>
      <c r="O70" s="682" t="s">
        <v>1103</v>
      </c>
      <c r="P70" s="683" t="s">
        <v>1176</v>
      </c>
      <c r="Q70" s="940">
        <f>13000000-13000000</f>
        <v>0</v>
      </c>
      <c r="R70" s="138"/>
      <c r="S70" s="139"/>
      <c r="T70" s="139"/>
      <c r="U70" s="454">
        <f t="shared" si="1"/>
        <v>0</v>
      </c>
      <c r="V70" s="612" t="s">
        <v>1177</v>
      </c>
      <c r="W70" s="23" t="s">
        <v>1081</v>
      </c>
      <c r="X70" s="28" t="s">
        <v>1082</v>
      </c>
      <c r="Y70" s="612">
        <v>16858</v>
      </c>
      <c r="Z70" s="612">
        <v>17663</v>
      </c>
      <c r="AA70" s="612">
        <v>26731</v>
      </c>
      <c r="AB70" s="612">
        <v>6574</v>
      </c>
      <c r="AC70" s="612">
        <v>877</v>
      </c>
      <c r="AD70" s="612">
        <v>339</v>
      </c>
      <c r="AE70" s="612">
        <v>411</v>
      </c>
      <c r="AF70" s="612">
        <v>333</v>
      </c>
      <c r="AG70" s="612">
        <v>1</v>
      </c>
      <c r="AH70" s="612">
        <v>0</v>
      </c>
      <c r="AI70" s="612">
        <v>0</v>
      </c>
      <c r="AJ70" s="612">
        <v>0</v>
      </c>
      <c r="AK70" s="612">
        <v>0</v>
      </c>
      <c r="AL70" s="612">
        <v>1684</v>
      </c>
      <c r="AM70" s="612">
        <v>4038</v>
      </c>
      <c r="AN70" s="612">
        <f t="shared" si="2"/>
        <v>34521</v>
      </c>
      <c r="AO70" s="106">
        <v>46023</v>
      </c>
      <c r="AP70" s="106">
        <v>46387</v>
      </c>
      <c r="AQ70" s="110" t="s">
        <v>1028</v>
      </c>
    </row>
    <row r="71" spans="1:43" ht="74.25" hidden="1" customHeight="1">
      <c r="A71" s="102">
        <v>1</v>
      </c>
      <c r="B71" s="682" t="s">
        <v>513</v>
      </c>
      <c r="C71" s="102">
        <v>22</v>
      </c>
      <c r="D71" s="102" t="s">
        <v>1021</v>
      </c>
      <c r="E71" s="102">
        <v>2201</v>
      </c>
      <c r="F71" s="682" t="s">
        <v>379</v>
      </c>
      <c r="G71" s="102">
        <v>2201069</v>
      </c>
      <c r="H71" s="682" t="s">
        <v>1167</v>
      </c>
      <c r="I71" s="102">
        <v>220106900</v>
      </c>
      <c r="J71" s="682" t="s">
        <v>88</v>
      </c>
      <c r="K71" s="115">
        <v>30</v>
      </c>
      <c r="L71" s="115"/>
      <c r="M71" s="115">
        <v>30</v>
      </c>
      <c r="N71" s="101">
        <v>2024003630023</v>
      </c>
      <c r="O71" s="682" t="s">
        <v>1103</v>
      </c>
      <c r="P71" s="941" t="s">
        <v>1178</v>
      </c>
      <c r="Q71" s="940">
        <f>13000000-6330146</f>
        <v>6669854</v>
      </c>
      <c r="R71" s="138"/>
      <c r="S71" s="139"/>
      <c r="T71" s="139"/>
      <c r="U71" s="454">
        <f t="shared" si="1"/>
        <v>6669854</v>
      </c>
      <c r="V71" s="612" t="s">
        <v>1179</v>
      </c>
      <c r="W71" s="23" t="s">
        <v>1081</v>
      </c>
      <c r="X71" s="28" t="s">
        <v>1082</v>
      </c>
      <c r="Y71" s="612">
        <v>16858</v>
      </c>
      <c r="Z71" s="612">
        <v>17663</v>
      </c>
      <c r="AA71" s="612">
        <v>26731</v>
      </c>
      <c r="AB71" s="612">
        <v>6574</v>
      </c>
      <c r="AC71" s="612">
        <v>877</v>
      </c>
      <c r="AD71" s="612">
        <v>339</v>
      </c>
      <c r="AE71" s="612">
        <v>411</v>
      </c>
      <c r="AF71" s="612">
        <v>333</v>
      </c>
      <c r="AG71" s="612">
        <v>1</v>
      </c>
      <c r="AH71" s="612">
        <v>0</v>
      </c>
      <c r="AI71" s="612">
        <v>0</v>
      </c>
      <c r="AJ71" s="612">
        <v>0</v>
      </c>
      <c r="AK71" s="612">
        <v>0</v>
      </c>
      <c r="AL71" s="612">
        <v>1684</v>
      </c>
      <c r="AM71" s="612">
        <v>4038</v>
      </c>
      <c r="AN71" s="612">
        <f t="shared" ref="AN71" si="8">SUM(Y71:Z71)</f>
        <v>34521</v>
      </c>
      <c r="AO71" s="106">
        <v>46023</v>
      </c>
      <c r="AP71" s="106">
        <v>46387</v>
      </c>
      <c r="AQ71" s="110" t="s">
        <v>1028</v>
      </c>
    </row>
    <row r="72" spans="1:43" ht="74.25" hidden="1" customHeight="1">
      <c r="A72" s="102">
        <v>1</v>
      </c>
      <c r="B72" s="682" t="s">
        <v>513</v>
      </c>
      <c r="C72" s="102">
        <v>22</v>
      </c>
      <c r="D72" s="102" t="s">
        <v>1021</v>
      </c>
      <c r="E72" s="102">
        <v>2201</v>
      </c>
      <c r="F72" s="682" t="s">
        <v>379</v>
      </c>
      <c r="G72" s="102">
        <v>2201077</v>
      </c>
      <c r="H72" s="682" t="s">
        <v>1180</v>
      </c>
      <c r="I72" s="102">
        <v>220107700</v>
      </c>
      <c r="J72" s="682" t="s">
        <v>1181</v>
      </c>
      <c r="K72" s="115">
        <v>1</v>
      </c>
      <c r="L72" s="115"/>
      <c r="M72" s="115">
        <v>1</v>
      </c>
      <c r="N72" s="101">
        <v>2024003630023</v>
      </c>
      <c r="O72" s="682" t="s">
        <v>1103</v>
      </c>
      <c r="P72" s="683" t="s">
        <v>1182</v>
      </c>
      <c r="Q72" s="139">
        <v>120000000</v>
      </c>
      <c r="R72" s="138">
        <f>14800000+14800000+14800000</f>
        <v>44400000</v>
      </c>
      <c r="S72" s="139"/>
      <c r="T72" s="139"/>
      <c r="U72" s="454">
        <f t="shared" si="1"/>
        <v>75600000</v>
      </c>
      <c r="V72" s="612" t="s">
        <v>1183</v>
      </c>
      <c r="W72" s="23" t="s">
        <v>385</v>
      </c>
      <c r="X72" s="28" t="s">
        <v>1027</v>
      </c>
      <c r="Y72" s="612">
        <v>16858</v>
      </c>
      <c r="Z72" s="612">
        <v>17663</v>
      </c>
      <c r="AA72" s="612">
        <v>26731</v>
      </c>
      <c r="AB72" s="612">
        <v>6574</v>
      </c>
      <c r="AC72" s="612">
        <v>877</v>
      </c>
      <c r="AD72" s="612">
        <v>339</v>
      </c>
      <c r="AE72" s="612">
        <v>411</v>
      </c>
      <c r="AF72" s="612">
        <v>333</v>
      </c>
      <c r="AG72" s="612">
        <v>1</v>
      </c>
      <c r="AH72" s="612">
        <v>0</v>
      </c>
      <c r="AI72" s="612">
        <v>0</v>
      </c>
      <c r="AJ72" s="612">
        <v>0</v>
      </c>
      <c r="AK72" s="612">
        <v>0</v>
      </c>
      <c r="AL72" s="612">
        <v>1684</v>
      </c>
      <c r="AM72" s="612">
        <v>4038</v>
      </c>
      <c r="AN72" s="612">
        <f t="shared" si="2"/>
        <v>34521</v>
      </c>
      <c r="AO72" s="106">
        <v>46023</v>
      </c>
      <c r="AP72" s="106">
        <v>46387</v>
      </c>
      <c r="AQ72" s="110" t="s">
        <v>1028</v>
      </c>
    </row>
    <row r="73" spans="1:43" ht="74.25" hidden="1" customHeight="1">
      <c r="A73" s="102">
        <v>1</v>
      </c>
      <c r="B73" s="682" t="s">
        <v>513</v>
      </c>
      <c r="C73" s="102">
        <v>22</v>
      </c>
      <c r="D73" s="102" t="s">
        <v>1021</v>
      </c>
      <c r="E73" s="102">
        <v>2201</v>
      </c>
      <c r="F73" s="682" t="s">
        <v>379</v>
      </c>
      <c r="G73" s="102">
        <v>2201077</v>
      </c>
      <c r="H73" s="682" t="s">
        <v>1180</v>
      </c>
      <c r="I73" s="102">
        <v>220107700</v>
      </c>
      <c r="J73" s="682" t="s">
        <v>1181</v>
      </c>
      <c r="K73" s="115">
        <v>1</v>
      </c>
      <c r="L73" s="115"/>
      <c r="M73" s="115">
        <v>1</v>
      </c>
      <c r="N73" s="101">
        <v>2024003630023</v>
      </c>
      <c r="O73" s="682" t="s">
        <v>1103</v>
      </c>
      <c r="P73" s="683" t="s">
        <v>1184</v>
      </c>
      <c r="Q73" s="940">
        <f>60000000-60000000</f>
        <v>0</v>
      </c>
      <c r="R73" s="138"/>
      <c r="S73" s="139"/>
      <c r="T73" s="139"/>
      <c r="U73" s="454">
        <f>+Q73-R73+S73-T73</f>
        <v>0</v>
      </c>
      <c r="V73" s="612" t="s">
        <v>1185</v>
      </c>
      <c r="W73" s="23" t="s">
        <v>1081</v>
      </c>
      <c r="X73" s="28" t="s">
        <v>1082</v>
      </c>
      <c r="Y73" s="612">
        <v>16858</v>
      </c>
      <c r="Z73" s="612">
        <v>17663</v>
      </c>
      <c r="AA73" s="612">
        <v>26731</v>
      </c>
      <c r="AB73" s="612">
        <v>6574</v>
      </c>
      <c r="AC73" s="612">
        <v>877</v>
      </c>
      <c r="AD73" s="612">
        <v>339</v>
      </c>
      <c r="AE73" s="612">
        <v>411</v>
      </c>
      <c r="AF73" s="612">
        <v>333</v>
      </c>
      <c r="AG73" s="612">
        <v>1</v>
      </c>
      <c r="AH73" s="612">
        <v>0</v>
      </c>
      <c r="AI73" s="612">
        <v>0</v>
      </c>
      <c r="AJ73" s="612">
        <v>0</v>
      </c>
      <c r="AK73" s="612">
        <v>0</v>
      </c>
      <c r="AL73" s="612">
        <v>1684</v>
      </c>
      <c r="AM73" s="612">
        <v>4038</v>
      </c>
      <c r="AN73" s="612">
        <f t="shared" si="2"/>
        <v>34521</v>
      </c>
      <c r="AO73" s="106">
        <v>46023</v>
      </c>
      <c r="AP73" s="106">
        <v>46387</v>
      </c>
      <c r="AQ73" s="110" t="s">
        <v>1028</v>
      </c>
    </row>
    <row r="74" spans="1:43" ht="74.25" hidden="1" customHeight="1">
      <c r="A74" s="102">
        <v>1</v>
      </c>
      <c r="B74" s="682" t="s">
        <v>513</v>
      </c>
      <c r="C74" s="102">
        <v>22</v>
      </c>
      <c r="D74" s="102" t="s">
        <v>1021</v>
      </c>
      <c r="E74" s="102">
        <v>2201</v>
      </c>
      <c r="F74" s="682" t="s">
        <v>379</v>
      </c>
      <c r="G74" s="102">
        <v>2201077</v>
      </c>
      <c r="H74" s="682" t="s">
        <v>1180</v>
      </c>
      <c r="I74" s="102">
        <v>220107700</v>
      </c>
      <c r="J74" s="682" t="s">
        <v>1181</v>
      </c>
      <c r="K74" s="115">
        <v>1</v>
      </c>
      <c r="L74" s="115"/>
      <c r="M74" s="115">
        <v>1</v>
      </c>
      <c r="N74" s="101">
        <v>2024003630023</v>
      </c>
      <c r="O74" s="682" t="s">
        <v>1103</v>
      </c>
      <c r="P74" s="683" t="s">
        <v>1186</v>
      </c>
      <c r="Q74" s="940">
        <f>60000000-8021482</f>
        <v>51978518</v>
      </c>
      <c r="R74" s="138"/>
      <c r="S74" s="139"/>
      <c r="T74" s="139"/>
      <c r="U74" s="454">
        <f>+Q74-R74+S74-T74</f>
        <v>51978518</v>
      </c>
      <c r="V74" s="612" t="s">
        <v>1187</v>
      </c>
      <c r="W74" s="23"/>
      <c r="X74" s="28"/>
      <c r="Y74" s="612"/>
      <c r="Z74" s="612"/>
      <c r="AA74" s="612"/>
      <c r="AB74" s="612"/>
      <c r="AC74" s="612"/>
      <c r="AD74" s="612"/>
      <c r="AE74" s="612"/>
      <c r="AF74" s="612"/>
      <c r="AG74" s="612"/>
      <c r="AH74" s="612"/>
      <c r="AI74" s="612"/>
      <c r="AJ74" s="612"/>
      <c r="AK74" s="612"/>
      <c r="AL74" s="612"/>
      <c r="AM74" s="612"/>
      <c r="AN74" s="612"/>
      <c r="AO74" s="106"/>
      <c r="AP74" s="106"/>
      <c r="AQ74" s="110"/>
    </row>
    <row r="75" spans="1:43" ht="74.25" hidden="1" customHeight="1">
      <c r="A75" s="102">
        <v>1</v>
      </c>
      <c r="B75" s="682" t="s">
        <v>513</v>
      </c>
      <c r="C75" s="102">
        <v>22</v>
      </c>
      <c r="D75" s="102" t="s">
        <v>1021</v>
      </c>
      <c r="E75" s="102">
        <v>2201</v>
      </c>
      <c r="F75" s="682" t="s">
        <v>379</v>
      </c>
      <c r="G75" s="102">
        <v>2201071</v>
      </c>
      <c r="H75" s="682" t="s">
        <v>1188</v>
      </c>
      <c r="I75" s="102">
        <v>220107100</v>
      </c>
      <c r="J75" s="682" t="s">
        <v>1189</v>
      </c>
      <c r="K75" s="115">
        <v>54</v>
      </c>
      <c r="L75" s="115"/>
      <c r="M75" s="115">
        <v>54</v>
      </c>
      <c r="N75" s="114">
        <v>2024003630025</v>
      </c>
      <c r="O75" s="686" t="s">
        <v>1190</v>
      </c>
      <c r="P75" s="683" t="s">
        <v>1191</v>
      </c>
      <c r="Q75" s="164">
        <v>4079206933</v>
      </c>
      <c r="R75" s="138">
        <v>4079206933</v>
      </c>
      <c r="S75" s="139"/>
      <c r="T75" s="139"/>
      <c r="U75" s="454">
        <f t="shared" si="1"/>
        <v>0</v>
      </c>
      <c r="V75" s="458" t="s">
        <v>1192</v>
      </c>
      <c r="W75" s="23" t="s">
        <v>1193</v>
      </c>
      <c r="X75" s="28" t="s">
        <v>1194</v>
      </c>
      <c r="Y75" s="612">
        <v>16858</v>
      </c>
      <c r="Z75" s="612">
        <v>17663</v>
      </c>
      <c r="AA75" s="612">
        <v>26731</v>
      </c>
      <c r="AB75" s="612">
        <v>6574</v>
      </c>
      <c r="AC75" s="612">
        <v>877</v>
      </c>
      <c r="AD75" s="612">
        <v>339</v>
      </c>
      <c r="AE75" s="612">
        <v>411</v>
      </c>
      <c r="AF75" s="612">
        <v>333</v>
      </c>
      <c r="AG75" s="612">
        <v>1</v>
      </c>
      <c r="AH75" s="612">
        <v>0</v>
      </c>
      <c r="AI75" s="612">
        <v>0</v>
      </c>
      <c r="AJ75" s="612">
        <v>0</v>
      </c>
      <c r="AK75" s="612">
        <v>0</v>
      </c>
      <c r="AL75" s="612">
        <v>1684</v>
      </c>
      <c r="AM75" s="612">
        <v>4038</v>
      </c>
      <c r="AN75" s="612">
        <f t="shared" si="2"/>
        <v>34521</v>
      </c>
      <c r="AO75" s="106">
        <v>46023</v>
      </c>
      <c r="AP75" s="106">
        <v>46387</v>
      </c>
      <c r="AQ75" s="110" t="s">
        <v>1028</v>
      </c>
    </row>
    <row r="76" spans="1:43" ht="74.25" hidden="1" customHeight="1">
      <c r="A76" s="102">
        <v>1</v>
      </c>
      <c r="B76" s="682" t="s">
        <v>513</v>
      </c>
      <c r="C76" s="102">
        <v>22</v>
      </c>
      <c r="D76" s="102" t="s">
        <v>1021</v>
      </c>
      <c r="E76" s="102">
        <v>2201</v>
      </c>
      <c r="F76" s="682" t="s">
        <v>379</v>
      </c>
      <c r="G76" s="102">
        <v>2201071</v>
      </c>
      <c r="H76" s="682" t="s">
        <v>1188</v>
      </c>
      <c r="I76" s="102">
        <v>220107100</v>
      </c>
      <c r="J76" s="682" t="s">
        <v>1189</v>
      </c>
      <c r="K76" s="115">
        <v>54</v>
      </c>
      <c r="L76" s="115"/>
      <c r="M76" s="115">
        <v>54</v>
      </c>
      <c r="N76" s="114">
        <v>2024003630025</v>
      </c>
      <c r="O76" s="686" t="s">
        <v>1190</v>
      </c>
      <c r="P76" s="683" t="s">
        <v>1195</v>
      </c>
      <c r="Q76" s="164">
        <v>5700000000</v>
      </c>
      <c r="R76" s="138">
        <f>266210662+1298000000</f>
        <v>1564210662</v>
      </c>
      <c r="S76" s="139"/>
      <c r="T76" s="139"/>
      <c r="U76" s="454">
        <f t="shared" si="1"/>
        <v>4135789338</v>
      </c>
      <c r="V76" s="458" t="s">
        <v>1196</v>
      </c>
      <c r="W76" s="23" t="s">
        <v>385</v>
      </c>
      <c r="X76" s="28" t="s">
        <v>1027</v>
      </c>
      <c r="Y76" s="612">
        <v>16858</v>
      </c>
      <c r="Z76" s="612">
        <v>17663</v>
      </c>
      <c r="AA76" s="612">
        <v>26731</v>
      </c>
      <c r="AB76" s="612">
        <v>6574</v>
      </c>
      <c r="AC76" s="612">
        <v>877</v>
      </c>
      <c r="AD76" s="612">
        <v>339</v>
      </c>
      <c r="AE76" s="612">
        <v>411</v>
      </c>
      <c r="AF76" s="612">
        <v>333</v>
      </c>
      <c r="AG76" s="612">
        <v>1</v>
      </c>
      <c r="AH76" s="612">
        <v>0</v>
      </c>
      <c r="AI76" s="612">
        <v>0</v>
      </c>
      <c r="AJ76" s="612">
        <v>0</v>
      </c>
      <c r="AK76" s="612">
        <v>0</v>
      </c>
      <c r="AL76" s="612">
        <v>1684</v>
      </c>
      <c r="AM76" s="612">
        <v>4038</v>
      </c>
      <c r="AN76" s="612">
        <f t="shared" si="2"/>
        <v>34521</v>
      </c>
      <c r="AO76" s="106">
        <v>46023</v>
      </c>
      <c r="AP76" s="106">
        <v>46387</v>
      </c>
      <c r="AQ76" s="110" t="s">
        <v>1028</v>
      </c>
    </row>
    <row r="77" spans="1:43" ht="74.25" hidden="1" customHeight="1">
      <c r="A77" s="102">
        <v>1</v>
      </c>
      <c r="B77" s="682" t="s">
        <v>513</v>
      </c>
      <c r="C77" s="102">
        <v>22</v>
      </c>
      <c r="D77" s="102" t="s">
        <v>1021</v>
      </c>
      <c r="E77" s="102">
        <v>2201</v>
      </c>
      <c r="F77" s="682" t="s">
        <v>379</v>
      </c>
      <c r="G77" s="102">
        <v>2201071</v>
      </c>
      <c r="H77" s="682" t="s">
        <v>1188</v>
      </c>
      <c r="I77" s="102">
        <v>220107100</v>
      </c>
      <c r="J77" s="682" t="s">
        <v>1189</v>
      </c>
      <c r="K77" s="115">
        <v>54</v>
      </c>
      <c r="L77" s="115"/>
      <c r="M77" s="115">
        <v>54</v>
      </c>
      <c r="N77" s="114">
        <v>2024003630025</v>
      </c>
      <c r="O77" s="686" t="s">
        <v>1190</v>
      </c>
      <c r="P77" s="683" t="s">
        <v>1197</v>
      </c>
      <c r="Q77" s="164">
        <v>10000000</v>
      </c>
      <c r="R77" s="138"/>
      <c r="S77" s="139"/>
      <c r="T77" s="139"/>
      <c r="U77" s="454">
        <f t="shared" si="1"/>
        <v>10000000</v>
      </c>
      <c r="V77" s="458" t="s">
        <v>1198</v>
      </c>
      <c r="W77" s="23" t="s">
        <v>385</v>
      </c>
      <c r="X77" s="28" t="s">
        <v>1027</v>
      </c>
      <c r="Y77" s="612">
        <v>16858</v>
      </c>
      <c r="Z77" s="612">
        <v>17663</v>
      </c>
      <c r="AA77" s="612">
        <v>26731</v>
      </c>
      <c r="AB77" s="612">
        <v>6574</v>
      </c>
      <c r="AC77" s="612">
        <v>877</v>
      </c>
      <c r="AD77" s="612">
        <v>339</v>
      </c>
      <c r="AE77" s="612">
        <v>411</v>
      </c>
      <c r="AF77" s="612">
        <v>333</v>
      </c>
      <c r="AG77" s="612">
        <v>1</v>
      </c>
      <c r="AH77" s="612">
        <v>0</v>
      </c>
      <c r="AI77" s="612">
        <v>0</v>
      </c>
      <c r="AJ77" s="612">
        <v>0</v>
      </c>
      <c r="AK77" s="612">
        <v>0</v>
      </c>
      <c r="AL77" s="612">
        <v>1684</v>
      </c>
      <c r="AM77" s="612">
        <v>4038</v>
      </c>
      <c r="AN77" s="612">
        <f t="shared" si="2"/>
        <v>34521</v>
      </c>
      <c r="AO77" s="106">
        <v>46023</v>
      </c>
      <c r="AP77" s="106">
        <v>46387</v>
      </c>
      <c r="AQ77" s="110" t="s">
        <v>1028</v>
      </c>
    </row>
    <row r="78" spans="1:43" ht="74.25" hidden="1" customHeight="1">
      <c r="A78" s="102">
        <v>1</v>
      </c>
      <c r="B78" s="682" t="s">
        <v>513</v>
      </c>
      <c r="C78" s="102">
        <v>22</v>
      </c>
      <c r="D78" s="102" t="s">
        <v>1021</v>
      </c>
      <c r="E78" s="102">
        <v>2201</v>
      </c>
      <c r="F78" s="682" t="s">
        <v>379</v>
      </c>
      <c r="G78" s="102">
        <v>2201071</v>
      </c>
      <c r="H78" s="682" t="s">
        <v>1188</v>
      </c>
      <c r="I78" s="102">
        <v>220107100</v>
      </c>
      <c r="J78" s="682" t="s">
        <v>1189</v>
      </c>
      <c r="K78" s="115">
        <v>54</v>
      </c>
      <c r="L78" s="115"/>
      <c r="M78" s="115">
        <v>54</v>
      </c>
      <c r="N78" s="114">
        <v>2024003630025</v>
      </c>
      <c r="O78" s="686" t="s">
        <v>1190</v>
      </c>
      <c r="P78" s="683" t="s">
        <v>1199</v>
      </c>
      <c r="Q78" s="164">
        <v>90000000</v>
      </c>
      <c r="R78" s="138"/>
      <c r="S78" s="139"/>
      <c r="T78" s="139"/>
      <c r="U78" s="454">
        <f t="shared" si="1"/>
        <v>90000000</v>
      </c>
      <c r="V78" s="458" t="s">
        <v>1200</v>
      </c>
      <c r="W78" s="23" t="s">
        <v>385</v>
      </c>
      <c r="X78" s="28" t="s">
        <v>1027</v>
      </c>
      <c r="Y78" s="612">
        <v>16858</v>
      </c>
      <c r="Z78" s="612">
        <v>17663</v>
      </c>
      <c r="AA78" s="612">
        <v>26731</v>
      </c>
      <c r="AB78" s="612">
        <v>6574</v>
      </c>
      <c r="AC78" s="612">
        <v>877</v>
      </c>
      <c r="AD78" s="612">
        <v>339</v>
      </c>
      <c r="AE78" s="612">
        <v>411</v>
      </c>
      <c r="AF78" s="612">
        <v>333</v>
      </c>
      <c r="AG78" s="612">
        <v>1</v>
      </c>
      <c r="AH78" s="612">
        <v>0</v>
      </c>
      <c r="AI78" s="612">
        <v>0</v>
      </c>
      <c r="AJ78" s="612">
        <v>0</v>
      </c>
      <c r="AK78" s="612">
        <v>0</v>
      </c>
      <c r="AL78" s="612">
        <v>1684</v>
      </c>
      <c r="AM78" s="612">
        <v>4038</v>
      </c>
      <c r="AN78" s="612">
        <f t="shared" si="2"/>
        <v>34521</v>
      </c>
      <c r="AO78" s="106">
        <v>46023</v>
      </c>
      <c r="AP78" s="106">
        <v>46387</v>
      </c>
      <c r="AQ78" s="110" t="s">
        <v>1028</v>
      </c>
    </row>
    <row r="79" spans="1:43" ht="74.25" hidden="1" customHeight="1">
      <c r="A79" s="102">
        <v>1</v>
      </c>
      <c r="B79" s="682" t="s">
        <v>513</v>
      </c>
      <c r="C79" s="102">
        <v>22</v>
      </c>
      <c r="D79" s="102" t="s">
        <v>1021</v>
      </c>
      <c r="E79" s="102">
        <v>2201</v>
      </c>
      <c r="F79" s="682" t="s">
        <v>379</v>
      </c>
      <c r="G79" s="102">
        <v>2201071</v>
      </c>
      <c r="H79" s="682" t="s">
        <v>1188</v>
      </c>
      <c r="I79" s="102">
        <v>220107100</v>
      </c>
      <c r="J79" s="682" t="s">
        <v>1189</v>
      </c>
      <c r="K79" s="115">
        <v>54</v>
      </c>
      <c r="L79" s="115"/>
      <c r="M79" s="115">
        <v>54</v>
      </c>
      <c r="N79" s="114">
        <v>2024003630025</v>
      </c>
      <c r="O79" s="686" t="s">
        <v>1190</v>
      </c>
      <c r="P79" s="683" t="s">
        <v>1201</v>
      </c>
      <c r="Q79" s="164">
        <v>30000000</v>
      </c>
      <c r="R79" s="138"/>
      <c r="S79" s="139"/>
      <c r="T79" s="139"/>
      <c r="U79" s="454">
        <f t="shared" si="1"/>
        <v>30000000</v>
      </c>
      <c r="V79" s="458" t="s">
        <v>1196</v>
      </c>
      <c r="W79" s="23" t="s">
        <v>385</v>
      </c>
      <c r="X79" s="28" t="s">
        <v>1027</v>
      </c>
      <c r="Y79" s="612">
        <v>16858</v>
      </c>
      <c r="Z79" s="612">
        <v>17663</v>
      </c>
      <c r="AA79" s="612">
        <v>26731</v>
      </c>
      <c r="AB79" s="612">
        <v>6574</v>
      </c>
      <c r="AC79" s="612">
        <v>877</v>
      </c>
      <c r="AD79" s="612">
        <v>339</v>
      </c>
      <c r="AE79" s="612">
        <v>411</v>
      </c>
      <c r="AF79" s="612">
        <v>333</v>
      </c>
      <c r="AG79" s="612">
        <v>1</v>
      </c>
      <c r="AH79" s="612">
        <v>0</v>
      </c>
      <c r="AI79" s="612">
        <v>0</v>
      </c>
      <c r="AJ79" s="612">
        <v>0</v>
      </c>
      <c r="AK79" s="612">
        <v>0</v>
      </c>
      <c r="AL79" s="612">
        <v>1684</v>
      </c>
      <c r="AM79" s="612">
        <v>4038</v>
      </c>
      <c r="AN79" s="612">
        <f t="shared" si="2"/>
        <v>34521</v>
      </c>
      <c r="AO79" s="106">
        <v>46023</v>
      </c>
      <c r="AP79" s="106">
        <v>46387</v>
      </c>
      <c r="AQ79" s="110" t="s">
        <v>1028</v>
      </c>
    </row>
    <row r="80" spans="1:43" ht="74.25" hidden="1" customHeight="1">
      <c r="A80" s="102">
        <v>1</v>
      </c>
      <c r="B80" s="682" t="s">
        <v>513</v>
      </c>
      <c r="C80" s="102">
        <v>22</v>
      </c>
      <c r="D80" s="102" t="s">
        <v>1021</v>
      </c>
      <c r="E80" s="102">
        <v>2201</v>
      </c>
      <c r="F80" s="682" t="s">
        <v>379</v>
      </c>
      <c r="G80" s="102">
        <v>2201071</v>
      </c>
      <c r="H80" s="682" t="s">
        <v>1188</v>
      </c>
      <c r="I80" s="102">
        <v>220107100</v>
      </c>
      <c r="J80" s="682" t="s">
        <v>1189</v>
      </c>
      <c r="K80" s="115">
        <v>54</v>
      </c>
      <c r="L80" s="115"/>
      <c r="M80" s="115">
        <v>54</v>
      </c>
      <c r="N80" s="114">
        <v>2024003630025</v>
      </c>
      <c r="O80" s="686" t="s">
        <v>1190</v>
      </c>
      <c r="P80" s="683" t="s">
        <v>1202</v>
      </c>
      <c r="Q80" s="164">
        <v>150000000</v>
      </c>
      <c r="R80" s="138"/>
      <c r="S80" s="139"/>
      <c r="T80" s="139"/>
      <c r="U80" s="454">
        <f t="shared" si="1"/>
        <v>150000000</v>
      </c>
      <c r="V80" s="458" t="s">
        <v>1196</v>
      </c>
      <c r="W80" s="23" t="s">
        <v>385</v>
      </c>
      <c r="X80" s="28" t="s">
        <v>1027</v>
      </c>
      <c r="Y80" s="612">
        <v>16858</v>
      </c>
      <c r="Z80" s="612">
        <v>17663</v>
      </c>
      <c r="AA80" s="612">
        <v>26731</v>
      </c>
      <c r="AB80" s="612">
        <v>6574</v>
      </c>
      <c r="AC80" s="612">
        <v>877</v>
      </c>
      <c r="AD80" s="612">
        <v>339</v>
      </c>
      <c r="AE80" s="612">
        <v>411</v>
      </c>
      <c r="AF80" s="612">
        <v>333</v>
      </c>
      <c r="AG80" s="612">
        <v>1</v>
      </c>
      <c r="AH80" s="612">
        <v>0</v>
      </c>
      <c r="AI80" s="612">
        <v>0</v>
      </c>
      <c r="AJ80" s="612">
        <v>0</v>
      </c>
      <c r="AK80" s="612">
        <v>0</v>
      </c>
      <c r="AL80" s="612">
        <v>1684</v>
      </c>
      <c r="AM80" s="612">
        <v>4038</v>
      </c>
      <c r="AN80" s="612">
        <f t="shared" si="2"/>
        <v>34521</v>
      </c>
      <c r="AO80" s="106">
        <v>46023</v>
      </c>
      <c r="AP80" s="106">
        <v>46387</v>
      </c>
      <c r="AQ80" s="110" t="s">
        <v>1028</v>
      </c>
    </row>
    <row r="81" spans="1:43" ht="74.25" hidden="1" customHeight="1">
      <c r="A81" s="102">
        <v>1</v>
      </c>
      <c r="B81" s="682" t="s">
        <v>513</v>
      </c>
      <c r="C81" s="102">
        <v>22</v>
      </c>
      <c r="D81" s="102" t="s">
        <v>1021</v>
      </c>
      <c r="E81" s="102">
        <v>2201</v>
      </c>
      <c r="F81" s="682" t="s">
        <v>379</v>
      </c>
      <c r="G81" s="102">
        <v>2201071</v>
      </c>
      <c r="H81" s="682" t="s">
        <v>1188</v>
      </c>
      <c r="I81" s="102">
        <v>220107100</v>
      </c>
      <c r="J81" s="682" t="s">
        <v>1189</v>
      </c>
      <c r="K81" s="115">
        <v>54</v>
      </c>
      <c r="L81" s="115"/>
      <c r="M81" s="115">
        <v>54</v>
      </c>
      <c r="N81" s="114">
        <v>2024003630025</v>
      </c>
      <c r="O81" s="686" t="s">
        <v>1190</v>
      </c>
      <c r="P81" s="683" t="s">
        <v>1203</v>
      </c>
      <c r="Q81" s="164">
        <v>20000000</v>
      </c>
      <c r="R81" s="138">
        <f>2466667+2600000+2666667+2466666+2666667+2666667</f>
        <v>15533334</v>
      </c>
      <c r="S81" s="139"/>
      <c r="T81" s="139"/>
      <c r="U81" s="454">
        <f t="shared" si="1"/>
        <v>4466666</v>
      </c>
      <c r="V81" s="458" t="s">
        <v>1204</v>
      </c>
      <c r="W81" s="23" t="s">
        <v>385</v>
      </c>
      <c r="X81" s="28" t="s">
        <v>1027</v>
      </c>
      <c r="Y81" s="612">
        <v>16858</v>
      </c>
      <c r="Z81" s="612">
        <v>17663</v>
      </c>
      <c r="AA81" s="612">
        <v>26731</v>
      </c>
      <c r="AB81" s="612">
        <v>6574</v>
      </c>
      <c r="AC81" s="612">
        <v>877</v>
      </c>
      <c r="AD81" s="612">
        <v>339</v>
      </c>
      <c r="AE81" s="612">
        <v>411</v>
      </c>
      <c r="AF81" s="612">
        <v>333</v>
      </c>
      <c r="AG81" s="612">
        <v>1</v>
      </c>
      <c r="AH81" s="612">
        <v>0</v>
      </c>
      <c r="AI81" s="612">
        <v>0</v>
      </c>
      <c r="AJ81" s="612">
        <v>0</v>
      </c>
      <c r="AK81" s="612">
        <v>0</v>
      </c>
      <c r="AL81" s="612">
        <v>1684</v>
      </c>
      <c r="AM81" s="612">
        <v>4038</v>
      </c>
      <c r="AN81" s="612">
        <f t="shared" si="2"/>
        <v>34521</v>
      </c>
      <c r="AO81" s="106">
        <v>46023</v>
      </c>
      <c r="AP81" s="106">
        <v>46387</v>
      </c>
      <c r="AQ81" s="110" t="s">
        <v>1028</v>
      </c>
    </row>
    <row r="82" spans="1:43" ht="74.25" hidden="1" customHeight="1">
      <c r="A82" s="102">
        <v>1</v>
      </c>
      <c r="B82" s="682" t="s">
        <v>513</v>
      </c>
      <c r="C82" s="102">
        <v>22</v>
      </c>
      <c r="D82" s="102" t="s">
        <v>1021</v>
      </c>
      <c r="E82" s="102">
        <v>2201</v>
      </c>
      <c r="F82" s="682" t="s">
        <v>379</v>
      </c>
      <c r="G82" s="102">
        <v>2201071</v>
      </c>
      <c r="H82" s="682" t="s">
        <v>1188</v>
      </c>
      <c r="I82" s="102">
        <v>220107100</v>
      </c>
      <c r="J82" s="682" t="s">
        <v>1189</v>
      </c>
      <c r="K82" s="115">
        <v>54</v>
      </c>
      <c r="L82" s="115"/>
      <c r="M82" s="115">
        <v>54</v>
      </c>
      <c r="N82" s="114">
        <v>2024003630025</v>
      </c>
      <c r="O82" s="686" t="s">
        <v>1190</v>
      </c>
      <c r="P82" s="683" t="s">
        <v>1205</v>
      </c>
      <c r="Q82" s="687">
        <v>12350296011</v>
      </c>
      <c r="R82" s="138"/>
      <c r="S82" s="139"/>
      <c r="T82" s="139"/>
      <c r="U82" s="454">
        <f t="shared" si="1"/>
        <v>12350296011</v>
      </c>
      <c r="V82" s="458" t="s">
        <v>1206</v>
      </c>
      <c r="W82" s="23" t="s">
        <v>1081</v>
      </c>
      <c r="X82" s="28" t="s">
        <v>1082</v>
      </c>
      <c r="Y82" s="612">
        <v>16858</v>
      </c>
      <c r="Z82" s="612">
        <v>17663</v>
      </c>
      <c r="AA82" s="612">
        <v>26731</v>
      </c>
      <c r="AB82" s="612">
        <v>6574</v>
      </c>
      <c r="AC82" s="612">
        <v>877</v>
      </c>
      <c r="AD82" s="612">
        <v>339</v>
      </c>
      <c r="AE82" s="612">
        <v>411</v>
      </c>
      <c r="AF82" s="612">
        <v>333</v>
      </c>
      <c r="AG82" s="612">
        <v>1</v>
      </c>
      <c r="AH82" s="612">
        <v>0</v>
      </c>
      <c r="AI82" s="612">
        <v>0</v>
      </c>
      <c r="AJ82" s="612">
        <v>0</v>
      </c>
      <c r="AK82" s="612">
        <v>0</v>
      </c>
      <c r="AL82" s="612">
        <v>1684</v>
      </c>
      <c r="AM82" s="612">
        <v>4038</v>
      </c>
      <c r="AN82" s="612">
        <f t="shared" si="2"/>
        <v>34521</v>
      </c>
      <c r="AO82" s="106">
        <v>46023</v>
      </c>
      <c r="AP82" s="106">
        <v>46387</v>
      </c>
      <c r="AQ82" s="110" t="s">
        <v>1028</v>
      </c>
    </row>
    <row r="83" spans="1:43" ht="74.25" hidden="1" customHeight="1">
      <c r="A83" s="102">
        <v>1</v>
      </c>
      <c r="B83" s="682" t="s">
        <v>513</v>
      </c>
      <c r="C83" s="102">
        <v>22</v>
      </c>
      <c r="D83" s="102" t="s">
        <v>1021</v>
      </c>
      <c r="E83" s="102">
        <v>2201</v>
      </c>
      <c r="F83" s="682" t="s">
        <v>379</v>
      </c>
      <c r="G83" s="102">
        <v>2201071</v>
      </c>
      <c r="H83" s="682" t="s">
        <v>1188</v>
      </c>
      <c r="I83" s="102">
        <v>220107100</v>
      </c>
      <c r="J83" s="682" t="s">
        <v>1189</v>
      </c>
      <c r="K83" s="115">
        <v>54</v>
      </c>
      <c r="L83" s="115"/>
      <c r="M83" s="115">
        <v>54</v>
      </c>
      <c r="N83" s="114">
        <v>2024003630025</v>
      </c>
      <c r="O83" s="686" t="s">
        <v>1190</v>
      </c>
      <c r="P83" s="683" t="s">
        <v>1207</v>
      </c>
      <c r="Q83" s="687">
        <v>497359159</v>
      </c>
      <c r="R83" s="138"/>
      <c r="S83" s="139"/>
      <c r="T83" s="139"/>
      <c r="U83" s="454">
        <f t="shared" si="1"/>
        <v>497359159</v>
      </c>
      <c r="V83" s="458" t="s">
        <v>1208</v>
      </c>
      <c r="W83" s="23" t="s">
        <v>1081</v>
      </c>
      <c r="X83" s="28" t="s">
        <v>1082</v>
      </c>
      <c r="Y83" s="612">
        <v>16858</v>
      </c>
      <c r="Z83" s="612">
        <v>17663</v>
      </c>
      <c r="AA83" s="612">
        <v>26731</v>
      </c>
      <c r="AB83" s="612">
        <v>6574</v>
      </c>
      <c r="AC83" s="612">
        <v>877</v>
      </c>
      <c r="AD83" s="612">
        <v>339</v>
      </c>
      <c r="AE83" s="612">
        <v>411</v>
      </c>
      <c r="AF83" s="612">
        <v>333</v>
      </c>
      <c r="AG83" s="612">
        <v>1</v>
      </c>
      <c r="AH83" s="612">
        <v>0</v>
      </c>
      <c r="AI83" s="612">
        <v>0</v>
      </c>
      <c r="AJ83" s="612">
        <v>0</v>
      </c>
      <c r="AK83" s="612">
        <v>0</v>
      </c>
      <c r="AL83" s="612">
        <v>1684</v>
      </c>
      <c r="AM83" s="612">
        <v>4038</v>
      </c>
      <c r="AN83" s="612">
        <f t="shared" si="2"/>
        <v>34521</v>
      </c>
      <c r="AO83" s="106">
        <v>46023</v>
      </c>
      <c r="AP83" s="106">
        <v>46387</v>
      </c>
      <c r="AQ83" s="110" t="s">
        <v>1028</v>
      </c>
    </row>
    <row r="84" spans="1:43" ht="74.25" hidden="1" customHeight="1">
      <c r="A84" s="102">
        <v>1</v>
      </c>
      <c r="B84" s="682" t="s">
        <v>513</v>
      </c>
      <c r="C84" s="102">
        <v>22</v>
      </c>
      <c r="D84" s="102" t="s">
        <v>1021</v>
      </c>
      <c r="E84" s="102">
        <v>2201</v>
      </c>
      <c r="F84" s="682" t="s">
        <v>379</v>
      </c>
      <c r="G84" s="102">
        <v>2201071</v>
      </c>
      <c r="H84" s="682" t="s">
        <v>1188</v>
      </c>
      <c r="I84" s="102">
        <v>220107100</v>
      </c>
      <c r="J84" s="682" t="s">
        <v>1189</v>
      </c>
      <c r="K84" s="115">
        <v>54</v>
      </c>
      <c r="L84" s="115"/>
      <c r="M84" s="115">
        <v>54</v>
      </c>
      <c r="N84" s="114">
        <v>2024003630025</v>
      </c>
      <c r="O84" s="686" t="s">
        <v>1190</v>
      </c>
      <c r="P84" s="683" t="s">
        <v>1209</v>
      </c>
      <c r="Q84" s="687">
        <v>513455330</v>
      </c>
      <c r="R84" s="138"/>
      <c r="S84" s="139"/>
      <c r="T84" s="139"/>
      <c r="U84" s="454">
        <f t="shared" ref="U84:U147" si="9">+Q84-R84+S84-T84</f>
        <v>513455330</v>
      </c>
      <c r="V84" s="458" t="s">
        <v>1210</v>
      </c>
      <c r="W84" s="23" t="s">
        <v>1081</v>
      </c>
      <c r="X84" s="28" t="s">
        <v>1082</v>
      </c>
      <c r="Y84" s="612">
        <v>16858</v>
      </c>
      <c r="Z84" s="612">
        <v>17663</v>
      </c>
      <c r="AA84" s="612">
        <v>26731</v>
      </c>
      <c r="AB84" s="612">
        <v>6574</v>
      </c>
      <c r="AC84" s="612">
        <v>877</v>
      </c>
      <c r="AD84" s="612">
        <v>339</v>
      </c>
      <c r="AE84" s="612">
        <v>411</v>
      </c>
      <c r="AF84" s="612">
        <v>333</v>
      </c>
      <c r="AG84" s="612">
        <v>1</v>
      </c>
      <c r="AH84" s="612">
        <v>0</v>
      </c>
      <c r="AI84" s="612">
        <v>0</v>
      </c>
      <c r="AJ84" s="612">
        <v>0</v>
      </c>
      <c r="AK84" s="612">
        <v>0</v>
      </c>
      <c r="AL84" s="612">
        <v>1684</v>
      </c>
      <c r="AM84" s="612">
        <v>4038</v>
      </c>
      <c r="AN84" s="612">
        <f t="shared" si="2"/>
        <v>34521</v>
      </c>
      <c r="AO84" s="106">
        <v>46023</v>
      </c>
      <c r="AP84" s="106">
        <v>46387</v>
      </c>
      <c r="AQ84" s="110" t="s">
        <v>1028</v>
      </c>
    </row>
    <row r="85" spans="1:43" ht="74.25" hidden="1" customHeight="1">
      <c r="A85" s="102">
        <v>1</v>
      </c>
      <c r="B85" s="682" t="s">
        <v>513</v>
      </c>
      <c r="C85" s="102">
        <v>22</v>
      </c>
      <c r="D85" s="102" t="s">
        <v>1021</v>
      </c>
      <c r="E85" s="102">
        <v>2201</v>
      </c>
      <c r="F85" s="682" t="s">
        <v>379</v>
      </c>
      <c r="G85" s="102">
        <v>2201071</v>
      </c>
      <c r="H85" s="682" t="s">
        <v>1188</v>
      </c>
      <c r="I85" s="102">
        <v>220107100</v>
      </c>
      <c r="J85" s="682" t="s">
        <v>1189</v>
      </c>
      <c r="K85" s="115">
        <v>54</v>
      </c>
      <c r="L85" s="115"/>
      <c r="M85" s="115">
        <v>54</v>
      </c>
      <c r="N85" s="114">
        <v>2024003630025</v>
      </c>
      <c r="O85" s="686" t="s">
        <v>1190</v>
      </c>
      <c r="P85" s="683" t="s">
        <v>1211</v>
      </c>
      <c r="Q85" s="687">
        <v>344974855</v>
      </c>
      <c r="R85" s="138"/>
      <c r="S85" s="139"/>
      <c r="T85" s="139"/>
      <c r="U85" s="454">
        <f t="shared" si="9"/>
        <v>344974855</v>
      </c>
      <c r="V85" s="458" t="s">
        <v>1212</v>
      </c>
      <c r="W85" s="23" t="s">
        <v>1081</v>
      </c>
      <c r="X85" s="28" t="s">
        <v>1082</v>
      </c>
      <c r="Y85" s="612">
        <v>16858</v>
      </c>
      <c r="Z85" s="612">
        <v>17663</v>
      </c>
      <c r="AA85" s="612">
        <v>26731</v>
      </c>
      <c r="AB85" s="612">
        <v>6574</v>
      </c>
      <c r="AC85" s="612">
        <v>877</v>
      </c>
      <c r="AD85" s="612">
        <v>339</v>
      </c>
      <c r="AE85" s="612">
        <v>411</v>
      </c>
      <c r="AF85" s="612">
        <v>333</v>
      </c>
      <c r="AG85" s="612">
        <v>1</v>
      </c>
      <c r="AH85" s="612">
        <v>0</v>
      </c>
      <c r="AI85" s="612">
        <v>0</v>
      </c>
      <c r="AJ85" s="612">
        <v>0</v>
      </c>
      <c r="AK85" s="612">
        <v>0</v>
      </c>
      <c r="AL85" s="612">
        <v>1684</v>
      </c>
      <c r="AM85" s="612">
        <v>4038</v>
      </c>
      <c r="AN85" s="612">
        <f t="shared" si="2"/>
        <v>34521</v>
      </c>
      <c r="AO85" s="106">
        <v>46023</v>
      </c>
      <c r="AP85" s="106">
        <v>46387</v>
      </c>
      <c r="AQ85" s="110" t="s">
        <v>1028</v>
      </c>
    </row>
    <row r="86" spans="1:43" ht="74.25" hidden="1" customHeight="1">
      <c r="A86" s="102">
        <v>1</v>
      </c>
      <c r="B86" s="682" t="s">
        <v>513</v>
      </c>
      <c r="C86" s="102">
        <v>22</v>
      </c>
      <c r="D86" s="102" t="s">
        <v>1021</v>
      </c>
      <c r="E86" s="102">
        <v>2201</v>
      </c>
      <c r="F86" s="682" t="s">
        <v>379</v>
      </c>
      <c r="G86" s="102">
        <v>2201071</v>
      </c>
      <c r="H86" s="682" t="s">
        <v>1188</v>
      </c>
      <c r="I86" s="102">
        <v>220107100</v>
      </c>
      <c r="J86" s="682" t="s">
        <v>1189</v>
      </c>
      <c r="K86" s="115">
        <v>54</v>
      </c>
      <c r="L86" s="115"/>
      <c r="M86" s="115">
        <v>54</v>
      </c>
      <c r="N86" s="114">
        <v>2024003630025</v>
      </c>
      <c r="O86" s="686" t="s">
        <v>1190</v>
      </c>
      <c r="P86" s="683" t="s">
        <v>1213</v>
      </c>
      <c r="Q86" s="687">
        <v>632158329</v>
      </c>
      <c r="R86" s="138"/>
      <c r="S86" s="139"/>
      <c r="T86" s="139"/>
      <c r="U86" s="454">
        <f t="shared" si="9"/>
        <v>632158329</v>
      </c>
      <c r="V86" s="458" t="s">
        <v>1214</v>
      </c>
      <c r="W86" s="23" t="s">
        <v>1081</v>
      </c>
      <c r="X86" s="28" t="s">
        <v>1082</v>
      </c>
      <c r="Y86" s="612">
        <v>16858</v>
      </c>
      <c r="Z86" s="612">
        <v>17663</v>
      </c>
      <c r="AA86" s="612">
        <v>26731</v>
      </c>
      <c r="AB86" s="612">
        <v>6574</v>
      </c>
      <c r="AC86" s="612">
        <v>877</v>
      </c>
      <c r="AD86" s="612">
        <v>339</v>
      </c>
      <c r="AE86" s="612">
        <v>411</v>
      </c>
      <c r="AF86" s="612">
        <v>333</v>
      </c>
      <c r="AG86" s="612">
        <v>1</v>
      </c>
      <c r="AH86" s="612">
        <v>0</v>
      </c>
      <c r="AI86" s="612">
        <v>0</v>
      </c>
      <c r="AJ86" s="612">
        <v>0</v>
      </c>
      <c r="AK86" s="612">
        <v>0</v>
      </c>
      <c r="AL86" s="612">
        <v>1684</v>
      </c>
      <c r="AM86" s="612">
        <v>4038</v>
      </c>
      <c r="AN86" s="612">
        <f t="shared" si="2"/>
        <v>34521</v>
      </c>
      <c r="AO86" s="106">
        <v>46023</v>
      </c>
      <c r="AP86" s="106">
        <v>46387</v>
      </c>
      <c r="AQ86" s="110" t="s">
        <v>1028</v>
      </c>
    </row>
    <row r="87" spans="1:43" ht="74.25" hidden="1" customHeight="1">
      <c r="A87" s="102">
        <v>1</v>
      </c>
      <c r="B87" s="682" t="s">
        <v>513</v>
      </c>
      <c r="C87" s="102">
        <v>22</v>
      </c>
      <c r="D87" s="102" t="s">
        <v>1021</v>
      </c>
      <c r="E87" s="102">
        <v>2201</v>
      </c>
      <c r="F87" s="682" t="s">
        <v>379</v>
      </c>
      <c r="G87" s="102">
        <v>2201071</v>
      </c>
      <c r="H87" s="682" t="s">
        <v>1188</v>
      </c>
      <c r="I87" s="102">
        <v>220107100</v>
      </c>
      <c r="J87" s="682" t="s">
        <v>1189</v>
      </c>
      <c r="K87" s="115">
        <v>54</v>
      </c>
      <c r="L87" s="115"/>
      <c r="M87" s="115">
        <v>54</v>
      </c>
      <c r="N87" s="114">
        <v>2024003630025</v>
      </c>
      <c r="O87" s="686" t="s">
        <v>1190</v>
      </c>
      <c r="P87" s="683" t="s">
        <v>1215</v>
      </c>
      <c r="Q87" s="687">
        <v>532072762</v>
      </c>
      <c r="R87" s="138"/>
      <c r="S87" s="139"/>
      <c r="T87" s="139"/>
      <c r="U87" s="454">
        <f t="shared" si="9"/>
        <v>532072762</v>
      </c>
      <c r="V87" s="458" t="s">
        <v>1216</v>
      </c>
      <c r="W87" s="23" t="s">
        <v>1081</v>
      </c>
      <c r="X87" s="28" t="s">
        <v>1082</v>
      </c>
      <c r="Y87" s="612">
        <v>16858</v>
      </c>
      <c r="Z87" s="612">
        <v>17663</v>
      </c>
      <c r="AA87" s="612">
        <v>26731</v>
      </c>
      <c r="AB87" s="612">
        <v>6574</v>
      </c>
      <c r="AC87" s="612">
        <v>877</v>
      </c>
      <c r="AD87" s="612">
        <v>339</v>
      </c>
      <c r="AE87" s="612">
        <v>411</v>
      </c>
      <c r="AF87" s="612">
        <v>333</v>
      </c>
      <c r="AG87" s="612">
        <v>1</v>
      </c>
      <c r="AH87" s="612">
        <v>0</v>
      </c>
      <c r="AI87" s="612">
        <v>0</v>
      </c>
      <c r="AJ87" s="612">
        <v>0</v>
      </c>
      <c r="AK87" s="612">
        <v>0</v>
      </c>
      <c r="AL87" s="612">
        <v>1684</v>
      </c>
      <c r="AM87" s="612">
        <v>4038</v>
      </c>
      <c r="AN87" s="612">
        <f t="shared" si="2"/>
        <v>34521</v>
      </c>
      <c r="AO87" s="106">
        <v>46023</v>
      </c>
      <c r="AP87" s="106">
        <v>46387</v>
      </c>
      <c r="AQ87" s="110" t="s">
        <v>1028</v>
      </c>
    </row>
    <row r="88" spans="1:43" ht="74.25" hidden="1" customHeight="1">
      <c r="A88" s="102">
        <v>1</v>
      </c>
      <c r="B88" s="682" t="s">
        <v>513</v>
      </c>
      <c r="C88" s="102">
        <v>22</v>
      </c>
      <c r="D88" s="102" t="s">
        <v>1021</v>
      </c>
      <c r="E88" s="102">
        <v>2201</v>
      </c>
      <c r="F88" s="682" t="s">
        <v>379</v>
      </c>
      <c r="G88" s="102">
        <v>2201071</v>
      </c>
      <c r="H88" s="682" t="s">
        <v>1188</v>
      </c>
      <c r="I88" s="102">
        <v>220107100</v>
      </c>
      <c r="J88" s="682" t="s">
        <v>1189</v>
      </c>
      <c r="K88" s="115">
        <v>54</v>
      </c>
      <c r="L88" s="115"/>
      <c r="M88" s="115">
        <v>54</v>
      </c>
      <c r="N88" s="114">
        <v>2024003630025</v>
      </c>
      <c r="O88" s="686" t="s">
        <v>1190</v>
      </c>
      <c r="P88" s="683" t="s">
        <v>1217</v>
      </c>
      <c r="Q88" s="687">
        <v>3307500</v>
      </c>
      <c r="R88" s="138"/>
      <c r="S88" s="139"/>
      <c r="T88" s="139"/>
      <c r="U88" s="454">
        <f t="shared" si="9"/>
        <v>3307500</v>
      </c>
      <c r="V88" s="458" t="s">
        <v>1218</v>
      </c>
      <c r="W88" s="23" t="s">
        <v>1081</v>
      </c>
      <c r="X88" s="28" t="s">
        <v>1082</v>
      </c>
      <c r="Y88" s="612">
        <v>16858</v>
      </c>
      <c r="Z88" s="612">
        <v>17663</v>
      </c>
      <c r="AA88" s="612">
        <v>26731</v>
      </c>
      <c r="AB88" s="612">
        <v>6574</v>
      </c>
      <c r="AC88" s="612">
        <v>877</v>
      </c>
      <c r="AD88" s="612">
        <v>339</v>
      </c>
      <c r="AE88" s="612">
        <v>411</v>
      </c>
      <c r="AF88" s="612">
        <v>333</v>
      </c>
      <c r="AG88" s="612">
        <v>1</v>
      </c>
      <c r="AH88" s="612">
        <v>0</v>
      </c>
      <c r="AI88" s="612">
        <v>0</v>
      </c>
      <c r="AJ88" s="612">
        <v>0</v>
      </c>
      <c r="AK88" s="612">
        <v>0</v>
      </c>
      <c r="AL88" s="612">
        <v>1684</v>
      </c>
      <c r="AM88" s="612">
        <v>4038</v>
      </c>
      <c r="AN88" s="612">
        <f t="shared" si="2"/>
        <v>34521</v>
      </c>
      <c r="AO88" s="106">
        <v>46023</v>
      </c>
      <c r="AP88" s="106">
        <v>46387</v>
      </c>
      <c r="AQ88" s="110" t="s">
        <v>1028</v>
      </c>
    </row>
    <row r="89" spans="1:43" ht="74.25" hidden="1" customHeight="1">
      <c r="A89" s="102">
        <v>1</v>
      </c>
      <c r="B89" s="682" t="s">
        <v>513</v>
      </c>
      <c r="C89" s="102">
        <v>22</v>
      </c>
      <c r="D89" s="102" t="s">
        <v>1021</v>
      </c>
      <c r="E89" s="102">
        <v>2201</v>
      </c>
      <c r="F89" s="682" t="s">
        <v>379</v>
      </c>
      <c r="G89" s="102">
        <v>2201071</v>
      </c>
      <c r="H89" s="682" t="s">
        <v>1188</v>
      </c>
      <c r="I89" s="102">
        <v>220107100</v>
      </c>
      <c r="J89" s="682" t="s">
        <v>1189</v>
      </c>
      <c r="K89" s="115">
        <v>54</v>
      </c>
      <c r="L89" s="115"/>
      <c r="M89" s="115">
        <v>54</v>
      </c>
      <c r="N89" s="114">
        <v>2024003630025</v>
      </c>
      <c r="O89" s="686" t="s">
        <v>1190</v>
      </c>
      <c r="P89" s="683" t="s">
        <v>1219</v>
      </c>
      <c r="Q89" s="687">
        <v>1573322147</v>
      </c>
      <c r="R89" s="138"/>
      <c r="S89" s="139"/>
      <c r="T89" s="139"/>
      <c r="U89" s="454">
        <f t="shared" si="9"/>
        <v>1573322147</v>
      </c>
      <c r="V89" s="458" t="s">
        <v>1220</v>
      </c>
      <c r="W89" s="23" t="s">
        <v>1081</v>
      </c>
      <c r="X89" s="28" t="s">
        <v>1082</v>
      </c>
      <c r="Y89" s="612">
        <v>16858</v>
      </c>
      <c r="Z89" s="612">
        <v>17663</v>
      </c>
      <c r="AA89" s="612">
        <v>26731</v>
      </c>
      <c r="AB89" s="612">
        <v>6574</v>
      </c>
      <c r="AC89" s="612">
        <v>877</v>
      </c>
      <c r="AD89" s="612">
        <v>339</v>
      </c>
      <c r="AE89" s="612">
        <v>411</v>
      </c>
      <c r="AF89" s="612">
        <v>333</v>
      </c>
      <c r="AG89" s="612">
        <v>1</v>
      </c>
      <c r="AH89" s="612">
        <v>0</v>
      </c>
      <c r="AI89" s="612">
        <v>0</v>
      </c>
      <c r="AJ89" s="612">
        <v>0</v>
      </c>
      <c r="AK89" s="612">
        <v>0</v>
      </c>
      <c r="AL89" s="612">
        <v>1684</v>
      </c>
      <c r="AM89" s="612">
        <v>4038</v>
      </c>
      <c r="AN89" s="612">
        <f t="shared" si="2"/>
        <v>34521</v>
      </c>
      <c r="AO89" s="106">
        <v>46023</v>
      </c>
      <c r="AP89" s="106">
        <v>46387</v>
      </c>
      <c r="AQ89" s="110" t="s">
        <v>1028</v>
      </c>
    </row>
    <row r="90" spans="1:43" ht="74.25" hidden="1" customHeight="1">
      <c r="A90" s="102">
        <v>1</v>
      </c>
      <c r="B90" s="682" t="s">
        <v>513</v>
      </c>
      <c r="C90" s="102">
        <v>22</v>
      </c>
      <c r="D90" s="102" t="s">
        <v>1021</v>
      </c>
      <c r="E90" s="102">
        <v>2201</v>
      </c>
      <c r="F90" s="682" t="s">
        <v>379</v>
      </c>
      <c r="G90" s="102">
        <v>2201071</v>
      </c>
      <c r="H90" s="682" t="s">
        <v>1188</v>
      </c>
      <c r="I90" s="102">
        <v>220107100</v>
      </c>
      <c r="J90" s="682" t="s">
        <v>1189</v>
      </c>
      <c r="K90" s="115">
        <v>54</v>
      </c>
      <c r="L90" s="115"/>
      <c r="M90" s="115">
        <v>54</v>
      </c>
      <c r="N90" s="114">
        <v>2024003630025</v>
      </c>
      <c r="O90" s="686" t="s">
        <v>1190</v>
      </c>
      <c r="P90" s="683" t="s">
        <v>1221</v>
      </c>
      <c r="Q90" s="687">
        <v>1117405840</v>
      </c>
      <c r="R90" s="138"/>
      <c r="S90" s="139"/>
      <c r="T90" s="139"/>
      <c r="U90" s="454">
        <f t="shared" si="9"/>
        <v>1117405840</v>
      </c>
      <c r="V90" s="458" t="s">
        <v>1222</v>
      </c>
      <c r="W90" s="23" t="s">
        <v>1081</v>
      </c>
      <c r="X90" s="28" t="s">
        <v>1082</v>
      </c>
      <c r="Y90" s="612">
        <v>16858</v>
      </c>
      <c r="Z90" s="612">
        <v>17663</v>
      </c>
      <c r="AA90" s="612">
        <v>26731</v>
      </c>
      <c r="AB90" s="612">
        <v>6574</v>
      </c>
      <c r="AC90" s="612">
        <v>877</v>
      </c>
      <c r="AD90" s="612">
        <v>339</v>
      </c>
      <c r="AE90" s="612">
        <v>411</v>
      </c>
      <c r="AF90" s="612">
        <v>333</v>
      </c>
      <c r="AG90" s="612">
        <v>1</v>
      </c>
      <c r="AH90" s="612">
        <v>0</v>
      </c>
      <c r="AI90" s="612">
        <v>0</v>
      </c>
      <c r="AJ90" s="612">
        <v>0</v>
      </c>
      <c r="AK90" s="612">
        <v>0</v>
      </c>
      <c r="AL90" s="612">
        <v>1684</v>
      </c>
      <c r="AM90" s="612">
        <v>4038</v>
      </c>
      <c r="AN90" s="612">
        <f t="shared" si="2"/>
        <v>34521</v>
      </c>
      <c r="AO90" s="106">
        <v>46023</v>
      </c>
      <c r="AP90" s="106">
        <v>46387</v>
      </c>
      <c r="AQ90" s="110" t="s">
        <v>1028</v>
      </c>
    </row>
    <row r="91" spans="1:43" ht="74.25" hidden="1" customHeight="1">
      <c r="A91" s="102">
        <v>1</v>
      </c>
      <c r="B91" s="682" t="s">
        <v>513</v>
      </c>
      <c r="C91" s="102">
        <v>22</v>
      </c>
      <c r="D91" s="102" t="s">
        <v>1021</v>
      </c>
      <c r="E91" s="102">
        <v>2201</v>
      </c>
      <c r="F91" s="682" t="s">
        <v>379</v>
      </c>
      <c r="G91" s="102">
        <v>2201071</v>
      </c>
      <c r="H91" s="682" t="s">
        <v>1188</v>
      </c>
      <c r="I91" s="102">
        <v>220107100</v>
      </c>
      <c r="J91" s="682" t="s">
        <v>1189</v>
      </c>
      <c r="K91" s="115">
        <v>54</v>
      </c>
      <c r="L91" s="115"/>
      <c r="M91" s="115">
        <v>54</v>
      </c>
      <c r="N91" s="114">
        <v>2024003630025</v>
      </c>
      <c r="O91" s="686" t="s">
        <v>1190</v>
      </c>
      <c r="P91" s="683" t="s">
        <v>1223</v>
      </c>
      <c r="Q91" s="687">
        <v>1798796440</v>
      </c>
      <c r="R91" s="138"/>
      <c r="S91" s="139"/>
      <c r="T91" s="139"/>
      <c r="U91" s="454">
        <f t="shared" si="9"/>
        <v>1798796440</v>
      </c>
      <c r="V91" s="458" t="s">
        <v>1224</v>
      </c>
      <c r="W91" s="23" t="s">
        <v>1081</v>
      </c>
      <c r="X91" s="28" t="s">
        <v>1082</v>
      </c>
      <c r="Y91" s="612">
        <v>16858</v>
      </c>
      <c r="Z91" s="612">
        <v>17663</v>
      </c>
      <c r="AA91" s="612">
        <v>26731</v>
      </c>
      <c r="AB91" s="612">
        <v>6574</v>
      </c>
      <c r="AC91" s="612">
        <v>877</v>
      </c>
      <c r="AD91" s="612">
        <v>339</v>
      </c>
      <c r="AE91" s="612">
        <v>411</v>
      </c>
      <c r="AF91" s="612">
        <v>333</v>
      </c>
      <c r="AG91" s="612">
        <v>1</v>
      </c>
      <c r="AH91" s="612">
        <v>0</v>
      </c>
      <c r="AI91" s="612">
        <v>0</v>
      </c>
      <c r="AJ91" s="612">
        <v>0</v>
      </c>
      <c r="AK91" s="612">
        <v>0</v>
      </c>
      <c r="AL91" s="612">
        <v>1684</v>
      </c>
      <c r="AM91" s="612">
        <v>4038</v>
      </c>
      <c r="AN91" s="612">
        <f t="shared" ref="AN91:AN153" si="10">SUM(Y91:Z91)</f>
        <v>34521</v>
      </c>
      <c r="AO91" s="106">
        <v>46023</v>
      </c>
      <c r="AP91" s="106">
        <v>46387</v>
      </c>
      <c r="AQ91" s="110" t="s">
        <v>1028</v>
      </c>
    </row>
    <row r="92" spans="1:43" ht="74.25" hidden="1" customHeight="1">
      <c r="A92" s="102">
        <v>1</v>
      </c>
      <c r="B92" s="682" t="s">
        <v>513</v>
      </c>
      <c r="C92" s="102">
        <v>22</v>
      </c>
      <c r="D92" s="102" t="s">
        <v>1021</v>
      </c>
      <c r="E92" s="102">
        <v>2201</v>
      </c>
      <c r="F92" s="682" t="s">
        <v>379</v>
      </c>
      <c r="G92" s="102">
        <v>2201071</v>
      </c>
      <c r="H92" s="682" t="s">
        <v>1188</v>
      </c>
      <c r="I92" s="102">
        <v>220107100</v>
      </c>
      <c r="J92" s="682" t="s">
        <v>1189</v>
      </c>
      <c r="K92" s="115">
        <v>54</v>
      </c>
      <c r="L92" s="115"/>
      <c r="M92" s="115">
        <v>54</v>
      </c>
      <c r="N92" s="114">
        <v>2024003630025</v>
      </c>
      <c r="O92" s="686" t="s">
        <v>1190</v>
      </c>
      <c r="P92" s="683" t="s">
        <v>1225</v>
      </c>
      <c r="Q92" s="687">
        <v>568969407</v>
      </c>
      <c r="R92" s="138"/>
      <c r="S92" s="139"/>
      <c r="T92" s="139"/>
      <c r="U92" s="454">
        <f t="shared" si="9"/>
        <v>568969407</v>
      </c>
      <c r="V92" s="458" t="s">
        <v>1226</v>
      </c>
      <c r="W92" s="23" t="s">
        <v>1081</v>
      </c>
      <c r="X92" s="28" t="s">
        <v>1082</v>
      </c>
      <c r="Y92" s="612">
        <v>16858</v>
      </c>
      <c r="Z92" s="612">
        <v>17663</v>
      </c>
      <c r="AA92" s="612">
        <v>26731</v>
      </c>
      <c r="AB92" s="612">
        <v>6574</v>
      </c>
      <c r="AC92" s="612">
        <v>877</v>
      </c>
      <c r="AD92" s="612">
        <v>339</v>
      </c>
      <c r="AE92" s="612">
        <v>411</v>
      </c>
      <c r="AF92" s="612">
        <v>333</v>
      </c>
      <c r="AG92" s="612">
        <v>1</v>
      </c>
      <c r="AH92" s="612">
        <v>0</v>
      </c>
      <c r="AI92" s="612">
        <v>0</v>
      </c>
      <c r="AJ92" s="612">
        <v>0</v>
      </c>
      <c r="AK92" s="612">
        <v>0</v>
      </c>
      <c r="AL92" s="612">
        <v>1684</v>
      </c>
      <c r="AM92" s="612">
        <v>4038</v>
      </c>
      <c r="AN92" s="612">
        <f t="shared" si="10"/>
        <v>34521</v>
      </c>
      <c r="AO92" s="106">
        <v>46023</v>
      </c>
      <c r="AP92" s="106">
        <v>46387</v>
      </c>
      <c r="AQ92" s="110" t="s">
        <v>1028</v>
      </c>
    </row>
    <row r="93" spans="1:43" ht="74.25" hidden="1" customHeight="1">
      <c r="A93" s="102">
        <v>1</v>
      </c>
      <c r="B93" s="682" t="s">
        <v>513</v>
      </c>
      <c r="C93" s="102">
        <v>22</v>
      </c>
      <c r="D93" s="102" t="s">
        <v>1021</v>
      </c>
      <c r="E93" s="102">
        <v>2201</v>
      </c>
      <c r="F93" s="682" t="s">
        <v>379</v>
      </c>
      <c r="G93" s="102">
        <v>2201071</v>
      </c>
      <c r="H93" s="682" t="s">
        <v>1188</v>
      </c>
      <c r="I93" s="102">
        <v>220107100</v>
      </c>
      <c r="J93" s="682" t="s">
        <v>1189</v>
      </c>
      <c r="K93" s="115">
        <v>54</v>
      </c>
      <c r="L93" s="115"/>
      <c r="M93" s="115">
        <v>54</v>
      </c>
      <c r="N93" s="114">
        <v>2024003630025</v>
      </c>
      <c r="O93" s="686" t="s">
        <v>1190</v>
      </c>
      <c r="P93" s="683" t="s">
        <v>1227</v>
      </c>
      <c r="Q93" s="687">
        <v>64197840</v>
      </c>
      <c r="R93" s="138"/>
      <c r="S93" s="139"/>
      <c r="T93" s="139"/>
      <c r="U93" s="454">
        <f t="shared" si="9"/>
        <v>64197840</v>
      </c>
      <c r="V93" s="458" t="s">
        <v>1228</v>
      </c>
      <c r="W93" s="23" t="s">
        <v>1081</v>
      </c>
      <c r="X93" s="28" t="s">
        <v>1082</v>
      </c>
      <c r="Y93" s="612">
        <v>16858</v>
      </c>
      <c r="Z93" s="612">
        <v>17663</v>
      </c>
      <c r="AA93" s="612">
        <v>26731</v>
      </c>
      <c r="AB93" s="612">
        <v>6574</v>
      </c>
      <c r="AC93" s="612">
        <v>877</v>
      </c>
      <c r="AD93" s="612">
        <v>339</v>
      </c>
      <c r="AE93" s="612">
        <v>411</v>
      </c>
      <c r="AF93" s="612">
        <v>333</v>
      </c>
      <c r="AG93" s="612">
        <v>1</v>
      </c>
      <c r="AH93" s="612">
        <v>0</v>
      </c>
      <c r="AI93" s="612">
        <v>0</v>
      </c>
      <c r="AJ93" s="612">
        <v>0</v>
      </c>
      <c r="AK93" s="612">
        <v>0</v>
      </c>
      <c r="AL93" s="612">
        <v>1684</v>
      </c>
      <c r="AM93" s="612">
        <v>4038</v>
      </c>
      <c r="AN93" s="612">
        <f t="shared" si="10"/>
        <v>34521</v>
      </c>
      <c r="AO93" s="106">
        <v>46023</v>
      </c>
      <c r="AP93" s="106">
        <v>46387</v>
      </c>
      <c r="AQ93" s="110" t="s">
        <v>1028</v>
      </c>
    </row>
    <row r="94" spans="1:43" ht="74.25" hidden="1" customHeight="1">
      <c r="A94" s="102">
        <v>1</v>
      </c>
      <c r="B94" s="682" t="s">
        <v>513</v>
      </c>
      <c r="C94" s="102">
        <v>22</v>
      </c>
      <c r="D94" s="102" t="s">
        <v>1021</v>
      </c>
      <c r="E94" s="102">
        <v>2201</v>
      </c>
      <c r="F94" s="682" t="s">
        <v>379</v>
      </c>
      <c r="G94" s="102">
        <v>2201071</v>
      </c>
      <c r="H94" s="682" t="s">
        <v>1188</v>
      </c>
      <c r="I94" s="102">
        <v>220107100</v>
      </c>
      <c r="J94" s="682" t="s">
        <v>1189</v>
      </c>
      <c r="K94" s="115">
        <v>54</v>
      </c>
      <c r="L94" s="115"/>
      <c r="M94" s="115">
        <v>54</v>
      </c>
      <c r="N94" s="114">
        <v>2024003630025</v>
      </c>
      <c r="O94" s="686" t="s">
        <v>1190</v>
      </c>
      <c r="P94" s="683" t="s">
        <v>1229</v>
      </c>
      <c r="Q94" s="687">
        <v>424132763</v>
      </c>
      <c r="R94" s="138"/>
      <c r="S94" s="139"/>
      <c r="T94" s="139"/>
      <c r="U94" s="454">
        <f t="shared" si="9"/>
        <v>424132763</v>
      </c>
      <c r="V94" s="458" t="s">
        <v>1230</v>
      </c>
      <c r="W94" s="23" t="s">
        <v>1081</v>
      </c>
      <c r="X94" s="28" t="s">
        <v>1082</v>
      </c>
      <c r="Y94" s="612">
        <v>16858</v>
      </c>
      <c r="Z94" s="612">
        <v>17663</v>
      </c>
      <c r="AA94" s="612">
        <v>26731</v>
      </c>
      <c r="AB94" s="612">
        <v>6574</v>
      </c>
      <c r="AC94" s="612">
        <v>877</v>
      </c>
      <c r="AD94" s="612">
        <v>339</v>
      </c>
      <c r="AE94" s="612">
        <v>411</v>
      </c>
      <c r="AF94" s="612">
        <v>333</v>
      </c>
      <c r="AG94" s="612">
        <v>1</v>
      </c>
      <c r="AH94" s="612">
        <v>0</v>
      </c>
      <c r="AI94" s="612">
        <v>0</v>
      </c>
      <c r="AJ94" s="612">
        <v>0</v>
      </c>
      <c r="AK94" s="612">
        <v>0</v>
      </c>
      <c r="AL94" s="612">
        <v>1684</v>
      </c>
      <c r="AM94" s="612">
        <v>4038</v>
      </c>
      <c r="AN94" s="612">
        <f t="shared" si="10"/>
        <v>34521</v>
      </c>
      <c r="AO94" s="106">
        <v>46023</v>
      </c>
      <c r="AP94" s="106">
        <v>46387</v>
      </c>
      <c r="AQ94" s="110" t="s">
        <v>1028</v>
      </c>
    </row>
    <row r="95" spans="1:43" ht="74.25" hidden="1" customHeight="1">
      <c r="A95" s="102">
        <v>1</v>
      </c>
      <c r="B95" s="682" t="s">
        <v>513</v>
      </c>
      <c r="C95" s="102">
        <v>22</v>
      </c>
      <c r="D95" s="102" t="s">
        <v>1021</v>
      </c>
      <c r="E95" s="102">
        <v>2201</v>
      </c>
      <c r="F95" s="682" t="s">
        <v>379</v>
      </c>
      <c r="G95" s="102">
        <v>2201071</v>
      </c>
      <c r="H95" s="682" t="s">
        <v>1188</v>
      </c>
      <c r="I95" s="102">
        <v>220107100</v>
      </c>
      <c r="J95" s="682" t="s">
        <v>1189</v>
      </c>
      <c r="K95" s="115">
        <v>54</v>
      </c>
      <c r="L95" s="115"/>
      <c r="M95" s="115">
        <v>54</v>
      </c>
      <c r="N95" s="114">
        <v>2024003630025</v>
      </c>
      <c r="O95" s="686" t="s">
        <v>1190</v>
      </c>
      <c r="P95" s="683" t="s">
        <v>1231</v>
      </c>
      <c r="Q95" s="687">
        <v>69109804</v>
      </c>
      <c r="R95" s="138"/>
      <c r="S95" s="139"/>
      <c r="T95" s="139"/>
      <c r="U95" s="454">
        <f t="shared" si="9"/>
        <v>69109804</v>
      </c>
      <c r="V95" s="458" t="s">
        <v>1232</v>
      </c>
      <c r="W95" s="23" t="s">
        <v>1081</v>
      </c>
      <c r="X95" s="28" t="s">
        <v>1082</v>
      </c>
      <c r="Y95" s="612">
        <v>16858</v>
      </c>
      <c r="Z95" s="612">
        <v>17663</v>
      </c>
      <c r="AA95" s="612">
        <v>26731</v>
      </c>
      <c r="AB95" s="612">
        <v>6574</v>
      </c>
      <c r="AC95" s="612">
        <v>877</v>
      </c>
      <c r="AD95" s="612">
        <v>339</v>
      </c>
      <c r="AE95" s="612">
        <v>411</v>
      </c>
      <c r="AF95" s="612">
        <v>333</v>
      </c>
      <c r="AG95" s="612">
        <v>1</v>
      </c>
      <c r="AH95" s="612">
        <v>0</v>
      </c>
      <c r="AI95" s="612">
        <v>0</v>
      </c>
      <c r="AJ95" s="612">
        <v>0</v>
      </c>
      <c r="AK95" s="612">
        <v>0</v>
      </c>
      <c r="AL95" s="612">
        <v>1684</v>
      </c>
      <c r="AM95" s="612">
        <v>4038</v>
      </c>
      <c r="AN95" s="612">
        <f t="shared" si="10"/>
        <v>34521</v>
      </c>
      <c r="AO95" s="106">
        <v>46023</v>
      </c>
      <c r="AP95" s="106">
        <v>46387</v>
      </c>
      <c r="AQ95" s="110" t="s">
        <v>1028</v>
      </c>
    </row>
    <row r="96" spans="1:43" ht="74.25" hidden="1" customHeight="1">
      <c r="A96" s="102">
        <v>1</v>
      </c>
      <c r="B96" s="682" t="s">
        <v>513</v>
      </c>
      <c r="C96" s="102">
        <v>22</v>
      </c>
      <c r="D96" s="102" t="s">
        <v>1021</v>
      </c>
      <c r="E96" s="102">
        <v>2201</v>
      </c>
      <c r="F96" s="682" t="s">
        <v>379</v>
      </c>
      <c r="G96" s="102">
        <v>2201071</v>
      </c>
      <c r="H96" s="682" t="s">
        <v>1188</v>
      </c>
      <c r="I96" s="102">
        <v>220107100</v>
      </c>
      <c r="J96" s="682" t="s">
        <v>1189</v>
      </c>
      <c r="K96" s="115">
        <v>54</v>
      </c>
      <c r="L96" s="115"/>
      <c r="M96" s="115">
        <v>54</v>
      </c>
      <c r="N96" s="114">
        <v>2024003630025</v>
      </c>
      <c r="O96" s="686" t="s">
        <v>1190</v>
      </c>
      <c r="P96" s="683" t="s">
        <v>1233</v>
      </c>
      <c r="Q96" s="687">
        <v>69109804</v>
      </c>
      <c r="R96" s="138"/>
      <c r="S96" s="139"/>
      <c r="T96" s="139"/>
      <c r="U96" s="454">
        <f t="shared" si="9"/>
        <v>69109804</v>
      </c>
      <c r="V96" s="458" t="s">
        <v>1234</v>
      </c>
      <c r="W96" s="23" t="s">
        <v>1081</v>
      </c>
      <c r="X96" s="28" t="s">
        <v>1082</v>
      </c>
      <c r="Y96" s="612">
        <v>16858</v>
      </c>
      <c r="Z96" s="612">
        <v>17663</v>
      </c>
      <c r="AA96" s="612">
        <v>26731</v>
      </c>
      <c r="AB96" s="612">
        <v>6574</v>
      </c>
      <c r="AC96" s="612">
        <v>877</v>
      </c>
      <c r="AD96" s="612">
        <v>339</v>
      </c>
      <c r="AE96" s="612">
        <v>411</v>
      </c>
      <c r="AF96" s="612">
        <v>333</v>
      </c>
      <c r="AG96" s="612">
        <v>1</v>
      </c>
      <c r="AH96" s="612">
        <v>0</v>
      </c>
      <c r="AI96" s="612">
        <v>0</v>
      </c>
      <c r="AJ96" s="612">
        <v>0</v>
      </c>
      <c r="AK96" s="612">
        <v>0</v>
      </c>
      <c r="AL96" s="612">
        <v>1684</v>
      </c>
      <c r="AM96" s="612">
        <v>4038</v>
      </c>
      <c r="AN96" s="612">
        <f t="shared" si="10"/>
        <v>34521</v>
      </c>
      <c r="AO96" s="106">
        <v>46023</v>
      </c>
      <c r="AP96" s="106">
        <v>46387</v>
      </c>
      <c r="AQ96" s="110" t="s">
        <v>1028</v>
      </c>
    </row>
    <row r="97" spans="1:43" ht="74.25" hidden="1" customHeight="1">
      <c r="A97" s="102">
        <v>1</v>
      </c>
      <c r="B97" s="682" t="s">
        <v>513</v>
      </c>
      <c r="C97" s="102">
        <v>22</v>
      </c>
      <c r="D97" s="102" t="s">
        <v>1021</v>
      </c>
      <c r="E97" s="102">
        <v>2201</v>
      </c>
      <c r="F97" s="682" t="s">
        <v>379</v>
      </c>
      <c r="G97" s="102">
        <v>2201071</v>
      </c>
      <c r="H97" s="682" t="s">
        <v>1188</v>
      </c>
      <c r="I97" s="102">
        <v>220107100</v>
      </c>
      <c r="J97" s="682" t="s">
        <v>1189</v>
      </c>
      <c r="K97" s="115">
        <v>54</v>
      </c>
      <c r="L97" s="115"/>
      <c r="M97" s="115">
        <v>54</v>
      </c>
      <c r="N97" s="114">
        <v>2024003630025</v>
      </c>
      <c r="O97" s="686" t="s">
        <v>1190</v>
      </c>
      <c r="P97" s="683" t="s">
        <v>1235</v>
      </c>
      <c r="Q97" s="687">
        <v>138034870</v>
      </c>
      <c r="R97" s="138"/>
      <c r="S97" s="139"/>
      <c r="T97" s="139"/>
      <c r="U97" s="454">
        <f t="shared" si="9"/>
        <v>138034870</v>
      </c>
      <c r="V97" s="458" t="s">
        <v>1236</v>
      </c>
      <c r="W97" s="23" t="s">
        <v>1081</v>
      </c>
      <c r="X97" s="28" t="s">
        <v>1082</v>
      </c>
      <c r="Y97" s="612">
        <v>16858</v>
      </c>
      <c r="Z97" s="612">
        <v>17663</v>
      </c>
      <c r="AA97" s="612">
        <v>26731</v>
      </c>
      <c r="AB97" s="612">
        <v>6574</v>
      </c>
      <c r="AC97" s="612">
        <v>877</v>
      </c>
      <c r="AD97" s="612">
        <v>339</v>
      </c>
      <c r="AE97" s="612">
        <v>411</v>
      </c>
      <c r="AF97" s="612">
        <v>333</v>
      </c>
      <c r="AG97" s="612">
        <v>1</v>
      </c>
      <c r="AH97" s="612">
        <v>0</v>
      </c>
      <c r="AI97" s="612">
        <v>0</v>
      </c>
      <c r="AJ97" s="612">
        <v>0</v>
      </c>
      <c r="AK97" s="612">
        <v>0</v>
      </c>
      <c r="AL97" s="612">
        <v>1684</v>
      </c>
      <c r="AM97" s="612">
        <v>4038</v>
      </c>
      <c r="AN97" s="612">
        <f t="shared" si="10"/>
        <v>34521</v>
      </c>
      <c r="AO97" s="106">
        <v>46023</v>
      </c>
      <c r="AP97" s="106">
        <v>46387</v>
      </c>
      <c r="AQ97" s="110" t="s">
        <v>1028</v>
      </c>
    </row>
    <row r="98" spans="1:43" ht="74.25" hidden="1" customHeight="1">
      <c r="A98" s="102">
        <v>1</v>
      </c>
      <c r="B98" s="682" t="s">
        <v>513</v>
      </c>
      <c r="C98" s="102">
        <v>22</v>
      </c>
      <c r="D98" s="102" t="s">
        <v>1021</v>
      </c>
      <c r="E98" s="102">
        <v>2201</v>
      </c>
      <c r="F98" s="682" t="s">
        <v>379</v>
      </c>
      <c r="G98" s="102">
        <v>2201071</v>
      </c>
      <c r="H98" s="682" t="s">
        <v>1188</v>
      </c>
      <c r="I98" s="102">
        <v>220107100</v>
      </c>
      <c r="J98" s="682" t="s">
        <v>1189</v>
      </c>
      <c r="K98" s="115">
        <v>54</v>
      </c>
      <c r="L98" s="115"/>
      <c r="M98" s="115">
        <v>54</v>
      </c>
      <c r="N98" s="114">
        <v>2024003630025</v>
      </c>
      <c r="O98" s="686" t="s">
        <v>1190</v>
      </c>
      <c r="P98" s="683" t="s">
        <v>1237</v>
      </c>
      <c r="Q98" s="687">
        <v>11025000</v>
      </c>
      <c r="R98" s="138"/>
      <c r="S98" s="139"/>
      <c r="T98" s="139"/>
      <c r="U98" s="454">
        <f t="shared" si="9"/>
        <v>11025000</v>
      </c>
      <c r="V98" s="458" t="s">
        <v>1238</v>
      </c>
      <c r="W98" s="23" t="s">
        <v>1081</v>
      </c>
      <c r="X98" s="28" t="s">
        <v>1082</v>
      </c>
      <c r="Y98" s="612">
        <v>16858</v>
      </c>
      <c r="Z98" s="612">
        <v>17663</v>
      </c>
      <c r="AA98" s="612">
        <v>26731</v>
      </c>
      <c r="AB98" s="612">
        <v>6574</v>
      </c>
      <c r="AC98" s="612">
        <v>877</v>
      </c>
      <c r="AD98" s="612">
        <v>339</v>
      </c>
      <c r="AE98" s="612">
        <v>411</v>
      </c>
      <c r="AF98" s="612">
        <v>333</v>
      </c>
      <c r="AG98" s="612">
        <v>1</v>
      </c>
      <c r="AH98" s="612">
        <v>0</v>
      </c>
      <c r="AI98" s="612">
        <v>0</v>
      </c>
      <c r="AJ98" s="612">
        <v>0</v>
      </c>
      <c r="AK98" s="612">
        <v>0</v>
      </c>
      <c r="AL98" s="612">
        <v>1684</v>
      </c>
      <c r="AM98" s="612">
        <v>4038</v>
      </c>
      <c r="AN98" s="612">
        <f t="shared" si="10"/>
        <v>34521</v>
      </c>
      <c r="AO98" s="106">
        <v>46023</v>
      </c>
      <c r="AP98" s="106">
        <v>46387</v>
      </c>
      <c r="AQ98" s="110" t="s">
        <v>1028</v>
      </c>
    </row>
    <row r="99" spans="1:43" ht="74.25" hidden="1" customHeight="1">
      <c r="A99" s="102">
        <v>1</v>
      </c>
      <c r="B99" s="682" t="s">
        <v>513</v>
      </c>
      <c r="C99" s="102">
        <v>22</v>
      </c>
      <c r="D99" s="102" t="s">
        <v>1021</v>
      </c>
      <c r="E99" s="102">
        <v>2201</v>
      </c>
      <c r="F99" s="682" t="s">
        <v>379</v>
      </c>
      <c r="G99" s="102">
        <v>2201071</v>
      </c>
      <c r="H99" s="682" t="s">
        <v>1188</v>
      </c>
      <c r="I99" s="102">
        <v>220107100</v>
      </c>
      <c r="J99" s="682" t="s">
        <v>1189</v>
      </c>
      <c r="K99" s="115">
        <v>54</v>
      </c>
      <c r="L99" s="115"/>
      <c r="M99" s="115">
        <v>54</v>
      </c>
      <c r="N99" s="114">
        <v>2024003630025</v>
      </c>
      <c r="O99" s="686" t="s">
        <v>1190</v>
      </c>
      <c r="P99" s="683" t="s">
        <v>1239</v>
      </c>
      <c r="Q99" s="687">
        <v>64453512</v>
      </c>
      <c r="R99" s="138"/>
      <c r="S99" s="139"/>
      <c r="T99" s="139"/>
      <c r="U99" s="454">
        <f t="shared" si="9"/>
        <v>64453512</v>
      </c>
      <c r="V99" s="458" t="s">
        <v>1240</v>
      </c>
      <c r="W99" s="23" t="s">
        <v>1081</v>
      </c>
      <c r="X99" s="28" t="s">
        <v>1082</v>
      </c>
      <c r="Y99" s="612">
        <v>16858</v>
      </c>
      <c r="Z99" s="612">
        <v>17663</v>
      </c>
      <c r="AA99" s="612">
        <v>26731</v>
      </c>
      <c r="AB99" s="612">
        <v>6574</v>
      </c>
      <c r="AC99" s="612">
        <v>877</v>
      </c>
      <c r="AD99" s="612">
        <v>339</v>
      </c>
      <c r="AE99" s="612">
        <v>411</v>
      </c>
      <c r="AF99" s="612">
        <v>333</v>
      </c>
      <c r="AG99" s="612">
        <v>1</v>
      </c>
      <c r="AH99" s="612">
        <v>0</v>
      </c>
      <c r="AI99" s="612">
        <v>0</v>
      </c>
      <c r="AJ99" s="612">
        <v>0</v>
      </c>
      <c r="AK99" s="612">
        <v>0</v>
      </c>
      <c r="AL99" s="612">
        <v>1684</v>
      </c>
      <c r="AM99" s="612">
        <v>4038</v>
      </c>
      <c r="AN99" s="612">
        <f t="shared" si="10"/>
        <v>34521</v>
      </c>
      <c r="AO99" s="106">
        <v>46023</v>
      </c>
      <c r="AP99" s="106">
        <v>46387</v>
      </c>
      <c r="AQ99" s="110" t="s">
        <v>1028</v>
      </c>
    </row>
    <row r="100" spans="1:43" ht="74.25" hidden="1" customHeight="1">
      <c r="A100" s="102">
        <v>1</v>
      </c>
      <c r="B100" s="682" t="s">
        <v>513</v>
      </c>
      <c r="C100" s="102">
        <v>22</v>
      </c>
      <c r="D100" s="102" t="s">
        <v>1021</v>
      </c>
      <c r="E100" s="102">
        <v>2201</v>
      </c>
      <c r="F100" s="682" t="s">
        <v>379</v>
      </c>
      <c r="G100" s="102">
        <v>2201071</v>
      </c>
      <c r="H100" s="682" t="s">
        <v>1188</v>
      </c>
      <c r="I100" s="102">
        <v>220107100</v>
      </c>
      <c r="J100" s="682" t="s">
        <v>1189</v>
      </c>
      <c r="K100" s="115">
        <v>54</v>
      </c>
      <c r="L100" s="115"/>
      <c r="M100" s="115">
        <v>54</v>
      </c>
      <c r="N100" s="114">
        <v>2024003630025</v>
      </c>
      <c r="O100" s="686" t="s">
        <v>1190</v>
      </c>
      <c r="P100" s="683" t="s">
        <v>1241</v>
      </c>
      <c r="Q100" s="687">
        <v>319797887</v>
      </c>
      <c r="R100" s="138"/>
      <c r="S100" s="139"/>
      <c r="T100" s="139"/>
      <c r="U100" s="454">
        <f t="shared" si="9"/>
        <v>319797887</v>
      </c>
      <c r="V100" s="458" t="s">
        <v>1242</v>
      </c>
      <c r="W100" s="23" t="s">
        <v>1081</v>
      </c>
      <c r="X100" s="28" t="s">
        <v>1082</v>
      </c>
      <c r="Y100" s="612">
        <v>16858</v>
      </c>
      <c r="Z100" s="612">
        <v>17663</v>
      </c>
      <c r="AA100" s="612">
        <v>26731</v>
      </c>
      <c r="AB100" s="612">
        <v>6574</v>
      </c>
      <c r="AC100" s="612">
        <v>877</v>
      </c>
      <c r="AD100" s="612">
        <v>339</v>
      </c>
      <c r="AE100" s="612">
        <v>411</v>
      </c>
      <c r="AF100" s="612">
        <v>333</v>
      </c>
      <c r="AG100" s="612">
        <v>1</v>
      </c>
      <c r="AH100" s="612">
        <v>0</v>
      </c>
      <c r="AI100" s="612">
        <v>0</v>
      </c>
      <c r="AJ100" s="612">
        <v>0</v>
      </c>
      <c r="AK100" s="612">
        <v>0</v>
      </c>
      <c r="AL100" s="612">
        <v>1684</v>
      </c>
      <c r="AM100" s="612">
        <v>4038</v>
      </c>
      <c r="AN100" s="612">
        <f t="shared" si="10"/>
        <v>34521</v>
      </c>
      <c r="AO100" s="106">
        <v>46023</v>
      </c>
      <c r="AP100" s="106">
        <v>46387</v>
      </c>
      <c r="AQ100" s="110" t="s">
        <v>1028</v>
      </c>
    </row>
    <row r="101" spans="1:43" ht="74.25" hidden="1" customHeight="1">
      <c r="A101" s="102">
        <v>1</v>
      </c>
      <c r="B101" s="682" t="s">
        <v>513</v>
      </c>
      <c r="C101" s="102">
        <v>22</v>
      </c>
      <c r="D101" s="102" t="s">
        <v>1021</v>
      </c>
      <c r="E101" s="102">
        <v>2201</v>
      </c>
      <c r="F101" s="682" t="s">
        <v>379</v>
      </c>
      <c r="G101" s="102">
        <v>2201071</v>
      </c>
      <c r="H101" s="682" t="s">
        <v>1188</v>
      </c>
      <c r="I101" s="102">
        <v>220107100</v>
      </c>
      <c r="J101" s="682" t="s">
        <v>1189</v>
      </c>
      <c r="K101" s="115">
        <v>54</v>
      </c>
      <c r="L101" s="115"/>
      <c r="M101" s="115">
        <v>54</v>
      </c>
      <c r="N101" s="114">
        <v>2024003630025</v>
      </c>
      <c r="O101" s="686" t="s">
        <v>1190</v>
      </c>
      <c r="P101" s="683" t="s">
        <v>1243</v>
      </c>
      <c r="Q101" s="687">
        <v>19845000</v>
      </c>
      <c r="R101" s="138"/>
      <c r="S101" s="139"/>
      <c r="T101" s="139"/>
      <c r="U101" s="454">
        <f t="shared" si="9"/>
        <v>19845000</v>
      </c>
      <c r="V101" s="458" t="s">
        <v>1244</v>
      </c>
      <c r="W101" s="23" t="s">
        <v>1081</v>
      </c>
      <c r="X101" s="28" t="s">
        <v>1082</v>
      </c>
      <c r="Y101" s="612">
        <v>16858</v>
      </c>
      <c r="Z101" s="612">
        <v>17663</v>
      </c>
      <c r="AA101" s="612">
        <v>26731</v>
      </c>
      <c r="AB101" s="612">
        <v>6574</v>
      </c>
      <c r="AC101" s="612">
        <v>877</v>
      </c>
      <c r="AD101" s="612">
        <v>339</v>
      </c>
      <c r="AE101" s="612">
        <v>411</v>
      </c>
      <c r="AF101" s="612">
        <v>333</v>
      </c>
      <c r="AG101" s="612">
        <v>1</v>
      </c>
      <c r="AH101" s="612">
        <v>0</v>
      </c>
      <c r="AI101" s="612">
        <v>0</v>
      </c>
      <c r="AJ101" s="612">
        <v>0</v>
      </c>
      <c r="AK101" s="612">
        <v>0</v>
      </c>
      <c r="AL101" s="612">
        <v>1684</v>
      </c>
      <c r="AM101" s="612">
        <v>4038</v>
      </c>
      <c r="AN101" s="612">
        <f t="shared" si="10"/>
        <v>34521</v>
      </c>
      <c r="AO101" s="106">
        <v>46023</v>
      </c>
      <c r="AP101" s="106">
        <v>46387</v>
      </c>
      <c r="AQ101" s="110" t="s">
        <v>1028</v>
      </c>
    </row>
    <row r="102" spans="1:43" ht="74.25" hidden="1" customHeight="1">
      <c r="A102" s="102">
        <v>1</v>
      </c>
      <c r="B102" s="682" t="s">
        <v>513</v>
      </c>
      <c r="C102" s="102">
        <v>22</v>
      </c>
      <c r="D102" s="102" t="s">
        <v>1021</v>
      </c>
      <c r="E102" s="102">
        <v>2201</v>
      </c>
      <c r="F102" s="682" t="s">
        <v>379</v>
      </c>
      <c r="G102" s="102">
        <v>2201071</v>
      </c>
      <c r="H102" s="682" t="s">
        <v>1188</v>
      </c>
      <c r="I102" s="102">
        <v>220107100</v>
      </c>
      <c r="J102" s="682" t="s">
        <v>1189</v>
      </c>
      <c r="K102" s="115">
        <v>54</v>
      </c>
      <c r="L102" s="115"/>
      <c r="M102" s="115">
        <v>54</v>
      </c>
      <c r="N102" s="114">
        <v>2024003630025</v>
      </c>
      <c r="O102" s="686" t="s">
        <v>1190</v>
      </c>
      <c r="P102" s="683" t="s">
        <v>1245</v>
      </c>
      <c r="Q102" s="687">
        <v>342107371</v>
      </c>
      <c r="R102" s="138">
        <v>63691514</v>
      </c>
      <c r="S102" s="139"/>
      <c r="T102" s="139"/>
      <c r="U102" s="454">
        <f t="shared" si="9"/>
        <v>278415857</v>
      </c>
      <c r="V102" s="458" t="s">
        <v>1246</v>
      </c>
      <c r="W102" s="23" t="s">
        <v>1081</v>
      </c>
      <c r="X102" s="28" t="s">
        <v>1082</v>
      </c>
      <c r="Y102" s="612">
        <v>16858</v>
      </c>
      <c r="Z102" s="612">
        <v>17663</v>
      </c>
      <c r="AA102" s="612">
        <v>26731</v>
      </c>
      <c r="AB102" s="612">
        <v>6574</v>
      </c>
      <c r="AC102" s="612">
        <v>877</v>
      </c>
      <c r="AD102" s="612">
        <v>339</v>
      </c>
      <c r="AE102" s="612">
        <v>411</v>
      </c>
      <c r="AF102" s="612">
        <v>333</v>
      </c>
      <c r="AG102" s="612">
        <v>1</v>
      </c>
      <c r="AH102" s="612">
        <v>0</v>
      </c>
      <c r="AI102" s="612">
        <v>0</v>
      </c>
      <c r="AJ102" s="612">
        <v>0</v>
      </c>
      <c r="AK102" s="612">
        <v>0</v>
      </c>
      <c r="AL102" s="612">
        <v>1684</v>
      </c>
      <c r="AM102" s="612">
        <v>4038</v>
      </c>
      <c r="AN102" s="612">
        <f t="shared" si="10"/>
        <v>34521</v>
      </c>
      <c r="AO102" s="106">
        <v>46023</v>
      </c>
      <c r="AP102" s="106">
        <v>46387</v>
      </c>
      <c r="AQ102" s="110" t="s">
        <v>1028</v>
      </c>
    </row>
    <row r="103" spans="1:43" ht="74.25" hidden="1" customHeight="1">
      <c r="A103" s="102">
        <v>1</v>
      </c>
      <c r="B103" s="682" t="s">
        <v>513</v>
      </c>
      <c r="C103" s="102">
        <v>22</v>
      </c>
      <c r="D103" s="102" t="s">
        <v>1021</v>
      </c>
      <c r="E103" s="102">
        <v>2201</v>
      </c>
      <c r="F103" s="682" t="s">
        <v>379</v>
      </c>
      <c r="G103" s="102">
        <v>2201071</v>
      </c>
      <c r="H103" s="682" t="s">
        <v>1188</v>
      </c>
      <c r="I103" s="102">
        <v>220107100</v>
      </c>
      <c r="J103" s="682" t="s">
        <v>1189</v>
      </c>
      <c r="K103" s="115">
        <v>54</v>
      </c>
      <c r="L103" s="115"/>
      <c r="M103" s="115">
        <v>54</v>
      </c>
      <c r="N103" s="114">
        <v>2024003630025</v>
      </c>
      <c r="O103" s="686" t="s">
        <v>1190</v>
      </c>
      <c r="P103" s="683" t="s">
        <v>1247</v>
      </c>
      <c r="Q103" s="687">
        <v>11025000</v>
      </c>
      <c r="R103" s="138"/>
      <c r="S103" s="139"/>
      <c r="T103" s="139"/>
      <c r="U103" s="454">
        <f t="shared" si="9"/>
        <v>11025000</v>
      </c>
      <c r="V103" s="458" t="s">
        <v>1248</v>
      </c>
      <c r="W103" s="23" t="s">
        <v>1081</v>
      </c>
      <c r="X103" s="28" t="s">
        <v>1082</v>
      </c>
      <c r="Y103" s="612">
        <v>16858</v>
      </c>
      <c r="Z103" s="612">
        <v>17663</v>
      </c>
      <c r="AA103" s="612">
        <v>26731</v>
      </c>
      <c r="AB103" s="612">
        <v>6574</v>
      </c>
      <c r="AC103" s="612">
        <v>877</v>
      </c>
      <c r="AD103" s="612">
        <v>339</v>
      </c>
      <c r="AE103" s="612">
        <v>411</v>
      </c>
      <c r="AF103" s="612">
        <v>333</v>
      </c>
      <c r="AG103" s="612">
        <v>1</v>
      </c>
      <c r="AH103" s="612">
        <v>0</v>
      </c>
      <c r="AI103" s="612">
        <v>0</v>
      </c>
      <c r="AJ103" s="612">
        <v>0</v>
      </c>
      <c r="AK103" s="612">
        <v>0</v>
      </c>
      <c r="AL103" s="612">
        <v>1684</v>
      </c>
      <c r="AM103" s="612">
        <v>4038</v>
      </c>
      <c r="AN103" s="612">
        <f t="shared" si="10"/>
        <v>34521</v>
      </c>
      <c r="AO103" s="106">
        <v>46023</v>
      </c>
      <c r="AP103" s="106">
        <v>46387</v>
      </c>
      <c r="AQ103" s="110" t="s">
        <v>1028</v>
      </c>
    </row>
    <row r="104" spans="1:43" ht="74.25" hidden="1" customHeight="1">
      <c r="A104" s="102">
        <v>1</v>
      </c>
      <c r="B104" s="682" t="s">
        <v>513</v>
      </c>
      <c r="C104" s="102">
        <v>22</v>
      </c>
      <c r="D104" s="102" t="s">
        <v>1021</v>
      </c>
      <c r="E104" s="102">
        <v>2201</v>
      </c>
      <c r="F104" s="682" t="s">
        <v>379</v>
      </c>
      <c r="G104" s="102">
        <v>2201071</v>
      </c>
      <c r="H104" s="682" t="s">
        <v>1188</v>
      </c>
      <c r="I104" s="102">
        <v>220107100</v>
      </c>
      <c r="J104" s="682" t="s">
        <v>1189</v>
      </c>
      <c r="K104" s="115">
        <v>54</v>
      </c>
      <c r="L104" s="115"/>
      <c r="M104" s="115">
        <v>54</v>
      </c>
      <c r="N104" s="114">
        <v>2024003630025</v>
      </c>
      <c r="O104" s="686" t="s">
        <v>1190</v>
      </c>
      <c r="P104" s="683" t="s">
        <v>1249</v>
      </c>
      <c r="Q104" s="687">
        <v>10000000</v>
      </c>
      <c r="R104" s="138"/>
      <c r="S104" s="139"/>
      <c r="T104" s="139"/>
      <c r="U104" s="454">
        <f t="shared" si="9"/>
        <v>10000000</v>
      </c>
      <c r="V104" s="458" t="s">
        <v>1250</v>
      </c>
      <c r="W104" s="23" t="s">
        <v>1081</v>
      </c>
      <c r="X104" s="28" t="s">
        <v>1082</v>
      </c>
      <c r="Y104" s="612">
        <v>16858</v>
      </c>
      <c r="Z104" s="612">
        <v>17663</v>
      </c>
      <c r="AA104" s="612">
        <v>26731</v>
      </c>
      <c r="AB104" s="612">
        <v>6574</v>
      </c>
      <c r="AC104" s="612">
        <v>877</v>
      </c>
      <c r="AD104" s="612">
        <v>339</v>
      </c>
      <c r="AE104" s="612">
        <v>411</v>
      </c>
      <c r="AF104" s="612">
        <v>333</v>
      </c>
      <c r="AG104" s="612">
        <v>1</v>
      </c>
      <c r="AH104" s="612">
        <v>0</v>
      </c>
      <c r="AI104" s="612">
        <v>0</v>
      </c>
      <c r="AJ104" s="612">
        <v>0</v>
      </c>
      <c r="AK104" s="612">
        <v>0</v>
      </c>
      <c r="AL104" s="612">
        <v>1684</v>
      </c>
      <c r="AM104" s="612">
        <v>4038</v>
      </c>
      <c r="AN104" s="612">
        <f t="shared" si="10"/>
        <v>34521</v>
      </c>
      <c r="AO104" s="106">
        <v>46023</v>
      </c>
      <c r="AP104" s="106">
        <v>46387</v>
      </c>
      <c r="AQ104" s="110" t="s">
        <v>1028</v>
      </c>
    </row>
    <row r="105" spans="1:43" ht="74.25" hidden="1" customHeight="1">
      <c r="A105" s="102">
        <v>1</v>
      </c>
      <c r="B105" s="682" t="s">
        <v>513</v>
      </c>
      <c r="C105" s="102">
        <v>22</v>
      </c>
      <c r="D105" s="102" t="s">
        <v>1021</v>
      </c>
      <c r="E105" s="102">
        <v>2201</v>
      </c>
      <c r="F105" s="682" t="s">
        <v>379</v>
      </c>
      <c r="G105" s="102">
        <v>2201071</v>
      </c>
      <c r="H105" s="682" t="s">
        <v>1188</v>
      </c>
      <c r="I105" s="102">
        <v>220107100</v>
      </c>
      <c r="J105" s="682" t="s">
        <v>1189</v>
      </c>
      <c r="K105" s="115">
        <v>54</v>
      </c>
      <c r="L105" s="115"/>
      <c r="M105" s="115">
        <v>54</v>
      </c>
      <c r="N105" s="114">
        <v>2024003630025</v>
      </c>
      <c r="O105" s="686" t="s">
        <v>1190</v>
      </c>
      <c r="P105" s="683" t="s">
        <v>1251</v>
      </c>
      <c r="Q105" s="687">
        <v>111665548963.7</v>
      </c>
      <c r="R105" s="138"/>
      <c r="S105" s="139"/>
      <c r="T105" s="139"/>
      <c r="U105" s="454">
        <f t="shared" si="9"/>
        <v>111665548963.7</v>
      </c>
      <c r="V105" s="458" t="s">
        <v>1252</v>
      </c>
      <c r="W105" s="23" t="s">
        <v>1081</v>
      </c>
      <c r="X105" s="28" t="s">
        <v>1082</v>
      </c>
      <c r="Y105" s="612">
        <v>16858</v>
      </c>
      <c r="Z105" s="612">
        <v>17663</v>
      </c>
      <c r="AA105" s="612">
        <v>26731</v>
      </c>
      <c r="AB105" s="612">
        <v>6574</v>
      </c>
      <c r="AC105" s="612">
        <v>877</v>
      </c>
      <c r="AD105" s="612">
        <v>339</v>
      </c>
      <c r="AE105" s="612">
        <v>411</v>
      </c>
      <c r="AF105" s="612">
        <v>333</v>
      </c>
      <c r="AG105" s="612">
        <v>1</v>
      </c>
      <c r="AH105" s="612">
        <v>0</v>
      </c>
      <c r="AI105" s="612">
        <v>0</v>
      </c>
      <c r="AJ105" s="612">
        <v>0</v>
      </c>
      <c r="AK105" s="612">
        <v>0</v>
      </c>
      <c r="AL105" s="612">
        <v>1684</v>
      </c>
      <c r="AM105" s="612">
        <v>4038</v>
      </c>
      <c r="AN105" s="612">
        <f t="shared" si="10"/>
        <v>34521</v>
      </c>
      <c r="AO105" s="106">
        <v>46023</v>
      </c>
      <c r="AP105" s="106">
        <v>46387</v>
      </c>
      <c r="AQ105" s="110" t="s">
        <v>1028</v>
      </c>
    </row>
    <row r="106" spans="1:43" ht="74.25" hidden="1" customHeight="1">
      <c r="A106" s="102">
        <v>1</v>
      </c>
      <c r="B106" s="682" t="s">
        <v>513</v>
      </c>
      <c r="C106" s="102">
        <v>22</v>
      </c>
      <c r="D106" s="102" t="s">
        <v>1021</v>
      </c>
      <c r="E106" s="102">
        <v>2201</v>
      </c>
      <c r="F106" s="682" t="s">
        <v>379</v>
      </c>
      <c r="G106" s="102">
        <v>2201071</v>
      </c>
      <c r="H106" s="682" t="s">
        <v>1188</v>
      </c>
      <c r="I106" s="102">
        <v>220107100</v>
      </c>
      <c r="J106" s="682" t="s">
        <v>1189</v>
      </c>
      <c r="K106" s="115">
        <v>54</v>
      </c>
      <c r="L106" s="115"/>
      <c r="M106" s="115">
        <v>54</v>
      </c>
      <c r="N106" s="114">
        <v>2024003630025</v>
      </c>
      <c r="O106" s="686" t="s">
        <v>1190</v>
      </c>
      <c r="P106" s="683" t="s">
        <v>1253</v>
      </c>
      <c r="Q106" s="687">
        <v>3925052461</v>
      </c>
      <c r="R106" s="138"/>
      <c r="S106" s="139"/>
      <c r="T106" s="139"/>
      <c r="U106" s="454">
        <f t="shared" si="9"/>
        <v>3925052461</v>
      </c>
      <c r="V106" s="458" t="s">
        <v>1254</v>
      </c>
      <c r="W106" s="23" t="s">
        <v>1081</v>
      </c>
      <c r="X106" s="28" t="s">
        <v>1082</v>
      </c>
      <c r="Y106" s="612">
        <v>16858</v>
      </c>
      <c r="Z106" s="612">
        <v>17663</v>
      </c>
      <c r="AA106" s="612">
        <v>26731</v>
      </c>
      <c r="AB106" s="612">
        <v>6574</v>
      </c>
      <c r="AC106" s="612">
        <v>877</v>
      </c>
      <c r="AD106" s="612">
        <v>339</v>
      </c>
      <c r="AE106" s="612">
        <v>411</v>
      </c>
      <c r="AF106" s="612">
        <v>333</v>
      </c>
      <c r="AG106" s="612">
        <v>1</v>
      </c>
      <c r="AH106" s="612">
        <v>0</v>
      </c>
      <c r="AI106" s="612">
        <v>0</v>
      </c>
      <c r="AJ106" s="612">
        <v>0</v>
      </c>
      <c r="AK106" s="612">
        <v>0</v>
      </c>
      <c r="AL106" s="612">
        <v>1684</v>
      </c>
      <c r="AM106" s="612">
        <v>4038</v>
      </c>
      <c r="AN106" s="612">
        <f t="shared" si="10"/>
        <v>34521</v>
      </c>
      <c r="AO106" s="106">
        <v>46023</v>
      </c>
      <c r="AP106" s="106">
        <v>46387</v>
      </c>
      <c r="AQ106" s="110" t="s">
        <v>1028</v>
      </c>
    </row>
    <row r="107" spans="1:43" ht="74.25" hidden="1" customHeight="1">
      <c r="A107" s="102">
        <v>1</v>
      </c>
      <c r="B107" s="682" t="s">
        <v>513</v>
      </c>
      <c r="C107" s="102">
        <v>22</v>
      </c>
      <c r="D107" s="102" t="s">
        <v>1021</v>
      </c>
      <c r="E107" s="102">
        <v>2201</v>
      </c>
      <c r="F107" s="682" t="s">
        <v>379</v>
      </c>
      <c r="G107" s="102">
        <v>2201071</v>
      </c>
      <c r="H107" s="682" t="s">
        <v>1188</v>
      </c>
      <c r="I107" s="102">
        <v>220107100</v>
      </c>
      <c r="J107" s="682" t="s">
        <v>1189</v>
      </c>
      <c r="K107" s="115">
        <v>54</v>
      </c>
      <c r="L107" s="115"/>
      <c r="M107" s="115">
        <v>54</v>
      </c>
      <c r="N107" s="114">
        <v>2024003630025</v>
      </c>
      <c r="O107" s="686" t="s">
        <v>1190</v>
      </c>
      <c r="P107" s="683" t="s">
        <v>1255</v>
      </c>
      <c r="Q107" s="687">
        <v>17106226</v>
      </c>
      <c r="R107" s="138"/>
      <c r="S107" s="139"/>
      <c r="T107" s="139"/>
      <c r="U107" s="454">
        <f t="shared" si="9"/>
        <v>17106226</v>
      </c>
      <c r="V107" s="458" t="s">
        <v>1256</v>
      </c>
      <c r="W107" s="23" t="s">
        <v>1081</v>
      </c>
      <c r="X107" s="28" t="s">
        <v>1082</v>
      </c>
      <c r="Y107" s="612">
        <v>16858</v>
      </c>
      <c r="Z107" s="612">
        <v>17663</v>
      </c>
      <c r="AA107" s="612">
        <v>26731</v>
      </c>
      <c r="AB107" s="612">
        <v>6574</v>
      </c>
      <c r="AC107" s="612">
        <v>877</v>
      </c>
      <c r="AD107" s="612">
        <v>339</v>
      </c>
      <c r="AE107" s="612">
        <v>411</v>
      </c>
      <c r="AF107" s="612">
        <v>333</v>
      </c>
      <c r="AG107" s="612">
        <v>1</v>
      </c>
      <c r="AH107" s="612">
        <v>0</v>
      </c>
      <c r="AI107" s="612">
        <v>0</v>
      </c>
      <c r="AJ107" s="612">
        <v>0</v>
      </c>
      <c r="AK107" s="612">
        <v>0</v>
      </c>
      <c r="AL107" s="612">
        <v>1684</v>
      </c>
      <c r="AM107" s="612">
        <v>4038</v>
      </c>
      <c r="AN107" s="612">
        <f t="shared" si="10"/>
        <v>34521</v>
      </c>
      <c r="AO107" s="106">
        <v>46023</v>
      </c>
      <c r="AP107" s="106">
        <v>46387</v>
      </c>
      <c r="AQ107" s="110" t="s">
        <v>1028</v>
      </c>
    </row>
    <row r="108" spans="1:43" ht="74.25" hidden="1" customHeight="1">
      <c r="A108" s="102">
        <v>1</v>
      </c>
      <c r="B108" s="682" t="s">
        <v>513</v>
      </c>
      <c r="C108" s="102">
        <v>22</v>
      </c>
      <c r="D108" s="102" t="s">
        <v>1021</v>
      </c>
      <c r="E108" s="102">
        <v>2201</v>
      </c>
      <c r="F108" s="682" t="s">
        <v>379</v>
      </c>
      <c r="G108" s="102">
        <v>2201071</v>
      </c>
      <c r="H108" s="682" t="s">
        <v>1188</v>
      </c>
      <c r="I108" s="102">
        <v>220107100</v>
      </c>
      <c r="J108" s="682" t="s">
        <v>1189</v>
      </c>
      <c r="K108" s="115">
        <v>54</v>
      </c>
      <c r="L108" s="115"/>
      <c r="M108" s="115">
        <v>54</v>
      </c>
      <c r="N108" s="114">
        <v>2024003630025</v>
      </c>
      <c r="O108" s="686" t="s">
        <v>1190</v>
      </c>
      <c r="P108" s="683" t="s">
        <v>1257</v>
      </c>
      <c r="Q108" s="687">
        <v>38974103</v>
      </c>
      <c r="R108" s="138"/>
      <c r="S108" s="139"/>
      <c r="T108" s="139"/>
      <c r="U108" s="454">
        <f t="shared" si="9"/>
        <v>38974103</v>
      </c>
      <c r="V108" s="458" t="s">
        <v>1258</v>
      </c>
      <c r="W108" s="23" t="s">
        <v>1081</v>
      </c>
      <c r="X108" s="28" t="s">
        <v>1082</v>
      </c>
      <c r="Y108" s="612">
        <v>16858</v>
      </c>
      <c r="Z108" s="612">
        <v>17663</v>
      </c>
      <c r="AA108" s="612">
        <v>26731</v>
      </c>
      <c r="AB108" s="612">
        <v>6574</v>
      </c>
      <c r="AC108" s="612">
        <v>877</v>
      </c>
      <c r="AD108" s="612">
        <v>339</v>
      </c>
      <c r="AE108" s="612">
        <v>411</v>
      </c>
      <c r="AF108" s="612">
        <v>333</v>
      </c>
      <c r="AG108" s="612">
        <v>1</v>
      </c>
      <c r="AH108" s="612">
        <v>0</v>
      </c>
      <c r="AI108" s="612">
        <v>0</v>
      </c>
      <c r="AJ108" s="612">
        <v>0</v>
      </c>
      <c r="AK108" s="612">
        <v>0</v>
      </c>
      <c r="AL108" s="612">
        <v>1684</v>
      </c>
      <c r="AM108" s="612">
        <v>4038</v>
      </c>
      <c r="AN108" s="612">
        <f t="shared" si="10"/>
        <v>34521</v>
      </c>
      <c r="AO108" s="106">
        <v>46023</v>
      </c>
      <c r="AP108" s="106">
        <v>46387</v>
      </c>
      <c r="AQ108" s="110" t="s">
        <v>1028</v>
      </c>
    </row>
    <row r="109" spans="1:43" ht="74.25" hidden="1" customHeight="1">
      <c r="A109" s="102">
        <v>1</v>
      </c>
      <c r="B109" s="682" t="s">
        <v>513</v>
      </c>
      <c r="C109" s="102">
        <v>22</v>
      </c>
      <c r="D109" s="102" t="s">
        <v>1021</v>
      </c>
      <c r="E109" s="102">
        <v>2201</v>
      </c>
      <c r="F109" s="682" t="s">
        <v>379</v>
      </c>
      <c r="G109" s="102">
        <v>2201071</v>
      </c>
      <c r="H109" s="682" t="s">
        <v>1188</v>
      </c>
      <c r="I109" s="102">
        <v>220107100</v>
      </c>
      <c r="J109" s="682" t="s">
        <v>1189</v>
      </c>
      <c r="K109" s="115">
        <v>54</v>
      </c>
      <c r="L109" s="115"/>
      <c r="M109" s="115">
        <v>54</v>
      </c>
      <c r="N109" s="114">
        <v>2024003630025</v>
      </c>
      <c r="O109" s="686" t="s">
        <v>1190</v>
      </c>
      <c r="P109" s="683" t="s">
        <v>1259</v>
      </c>
      <c r="Q109" s="687">
        <v>4305363584</v>
      </c>
      <c r="R109" s="138"/>
      <c r="S109" s="139"/>
      <c r="T109" s="139"/>
      <c r="U109" s="454">
        <f t="shared" si="9"/>
        <v>4305363584</v>
      </c>
      <c r="V109" s="458" t="s">
        <v>1260</v>
      </c>
      <c r="W109" s="23" t="s">
        <v>1081</v>
      </c>
      <c r="X109" s="28" t="s">
        <v>1082</v>
      </c>
      <c r="Y109" s="612">
        <v>16858</v>
      </c>
      <c r="Z109" s="612">
        <v>17663</v>
      </c>
      <c r="AA109" s="612">
        <v>26731</v>
      </c>
      <c r="AB109" s="612">
        <v>6574</v>
      </c>
      <c r="AC109" s="612">
        <v>877</v>
      </c>
      <c r="AD109" s="612">
        <v>339</v>
      </c>
      <c r="AE109" s="612">
        <v>411</v>
      </c>
      <c r="AF109" s="612">
        <v>333</v>
      </c>
      <c r="AG109" s="612">
        <v>1</v>
      </c>
      <c r="AH109" s="612">
        <v>0</v>
      </c>
      <c r="AI109" s="612">
        <v>0</v>
      </c>
      <c r="AJ109" s="612">
        <v>0</v>
      </c>
      <c r="AK109" s="612">
        <v>0</v>
      </c>
      <c r="AL109" s="612">
        <v>1684</v>
      </c>
      <c r="AM109" s="612">
        <v>4038</v>
      </c>
      <c r="AN109" s="612">
        <f t="shared" si="10"/>
        <v>34521</v>
      </c>
      <c r="AO109" s="106">
        <v>46023</v>
      </c>
      <c r="AP109" s="106">
        <v>46387</v>
      </c>
      <c r="AQ109" s="110" t="s">
        <v>1028</v>
      </c>
    </row>
    <row r="110" spans="1:43" ht="74.25" hidden="1" customHeight="1">
      <c r="A110" s="102">
        <v>1</v>
      </c>
      <c r="B110" s="682" t="s">
        <v>513</v>
      </c>
      <c r="C110" s="102">
        <v>22</v>
      </c>
      <c r="D110" s="102" t="s">
        <v>1021</v>
      </c>
      <c r="E110" s="102">
        <v>2201</v>
      </c>
      <c r="F110" s="682" t="s">
        <v>379</v>
      </c>
      <c r="G110" s="102">
        <v>2201071</v>
      </c>
      <c r="H110" s="682" t="s">
        <v>1188</v>
      </c>
      <c r="I110" s="102">
        <v>220107100</v>
      </c>
      <c r="J110" s="682" t="s">
        <v>1189</v>
      </c>
      <c r="K110" s="115">
        <v>54</v>
      </c>
      <c r="L110" s="115"/>
      <c r="M110" s="115">
        <v>54</v>
      </c>
      <c r="N110" s="114">
        <v>2024003630025</v>
      </c>
      <c r="O110" s="686" t="s">
        <v>1190</v>
      </c>
      <c r="P110" s="683" t="s">
        <v>1261</v>
      </c>
      <c r="Q110" s="687">
        <v>10939371863</v>
      </c>
      <c r="R110" s="138"/>
      <c r="S110" s="139"/>
      <c r="T110" s="139"/>
      <c r="U110" s="454">
        <f t="shared" si="9"/>
        <v>10939371863</v>
      </c>
      <c r="V110" s="458" t="s">
        <v>1262</v>
      </c>
      <c r="W110" s="23" t="s">
        <v>1081</v>
      </c>
      <c r="X110" s="28" t="s">
        <v>1082</v>
      </c>
      <c r="Y110" s="612">
        <v>16858</v>
      </c>
      <c r="Z110" s="612">
        <v>17663</v>
      </c>
      <c r="AA110" s="612">
        <v>26731</v>
      </c>
      <c r="AB110" s="612">
        <v>6574</v>
      </c>
      <c r="AC110" s="612">
        <v>877</v>
      </c>
      <c r="AD110" s="612">
        <v>339</v>
      </c>
      <c r="AE110" s="612">
        <v>411</v>
      </c>
      <c r="AF110" s="612">
        <v>333</v>
      </c>
      <c r="AG110" s="612">
        <v>1</v>
      </c>
      <c r="AH110" s="612">
        <v>0</v>
      </c>
      <c r="AI110" s="612">
        <v>0</v>
      </c>
      <c r="AJ110" s="612">
        <v>0</v>
      </c>
      <c r="AK110" s="612">
        <v>0</v>
      </c>
      <c r="AL110" s="612">
        <v>1684</v>
      </c>
      <c r="AM110" s="612">
        <v>4038</v>
      </c>
      <c r="AN110" s="612">
        <f t="shared" si="10"/>
        <v>34521</v>
      </c>
      <c r="AO110" s="106">
        <v>46023</v>
      </c>
      <c r="AP110" s="106">
        <v>46387</v>
      </c>
      <c r="AQ110" s="110" t="s">
        <v>1028</v>
      </c>
    </row>
    <row r="111" spans="1:43" ht="74.25" hidden="1" customHeight="1">
      <c r="A111" s="102">
        <v>1</v>
      </c>
      <c r="B111" s="682" t="s">
        <v>513</v>
      </c>
      <c r="C111" s="102">
        <v>22</v>
      </c>
      <c r="D111" s="102" t="s">
        <v>1021</v>
      </c>
      <c r="E111" s="102">
        <v>2201</v>
      </c>
      <c r="F111" s="682" t="s">
        <v>379</v>
      </c>
      <c r="G111" s="102">
        <v>2201071</v>
      </c>
      <c r="H111" s="682" t="s">
        <v>1188</v>
      </c>
      <c r="I111" s="102">
        <v>220107100</v>
      </c>
      <c r="J111" s="682" t="s">
        <v>1189</v>
      </c>
      <c r="K111" s="115">
        <v>54</v>
      </c>
      <c r="L111" s="115"/>
      <c r="M111" s="115">
        <v>54</v>
      </c>
      <c r="N111" s="114">
        <v>2024003630025</v>
      </c>
      <c r="O111" s="686" t="s">
        <v>1190</v>
      </c>
      <c r="P111" s="683" t="s">
        <v>1263</v>
      </c>
      <c r="Q111" s="687">
        <v>3934665274</v>
      </c>
      <c r="R111" s="138"/>
      <c r="S111" s="139"/>
      <c r="T111" s="139"/>
      <c r="U111" s="454">
        <f t="shared" si="9"/>
        <v>3934665274</v>
      </c>
      <c r="V111" s="458" t="s">
        <v>1264</v>
      </c>
      <c r="W111" s="23" t="s">
        <v>1081</v>
      </c>
      <c r="X111" s="28" t="s">
        <v>1082</v>
      </c>
      <c r="Y111" s="612">
        <v>16858</v>
      </c>
      <c r="Z111" s="612">
        <v>17663</v>
      </c>
      <c r="AA111" s="612">
        <v>26731</v>
      </c>
      <c r="AB111" s="612">
        <v>6574</v>
      </c>
      <c r="AC111" s="612">
        <v>877</v>
      </c>
      <c r="AD111" s="612">
        <v>339</v>
      </c>
      <c r="AE111" s="612">
        <v>411</v>
      </c>
      <c r="AF111" s="612">
        <v>333</v>
      </c>
      <c r="AG111" s="612">
        <v>1</v>
      </c>
      <c r="AH111" s="612">
        <v>0</v>
      </c>
      <c r="AI111" s="612">
        <v>0</v>
      </c>
      <c r="AJ111" s="612">
        <v>0</v>
      </c>
      <c r="AK111" s="612">
        <v>0</v>
      </c>
      <c r="AL111" s="612">
        <v>1684</v>
      </c>
      <c r="AM111" s="612">
        <v>4038</v>
      </c>
      <c r="AN111" s="612">
        <f t="shared" si="10"/>
        <v>34521</v>
      </c>
      <c r="AO111" s="106">
        <v>46023</v>
      </c>
      <c r="AP111" s="106">
        <v>46387</v>
      </c>
      <c r="AQ111" s="110" t="s">
        <v>1028</v>
      </c>
    </row>
    <row r="112" spans="1:43" ht="74.25" hidden="1" customHeight="1">
      <c r="A112" s="102">
        <v>1</v>
      </c>
      <c r="B112" s="682" t="s">
        <v>513</v>
      </c>
      <c r="C112" s="102">
        <v>22</v>
      </c>
      <c r="D112" s="102" t="s">
        <v>1021</v>
      </c>
      <c r="E112" s="102">
        <v>2201</v>
      </c>
      <c r="F112" s="682" t="s">
        <v>379</v>
      </c>
      <c r="G112" s="102">
        <v>2201071</v>
      </c>
      <c r="H112" s="682" t="s">
        <v>1188</v>
      </c>
      <c r="I112" s="102">
        <v>220107100</v>
      </c>
      <c r="J112" s="682" t="s">
        <v>1189</v>
      </c>
      <c r="K112" s="115">
        <v>54</v>
      </c>
      <c r="L112" s="115"/>
      <c r="M112" s="115">
        <v>54</v>
      </c>
      <c r="N112" s="114">
        <v>2024003630025</v>
      </c>
      <c r="O112" s="686" t="s">
        <v>1190</v>
      </c>
      <c r="P112" s="683" t="s">
        <v>1265</v>
      </c>
      <c r="Q112" s="687">
        <v>20000000</v>
      </c>
      <c r="R112" s="138"/>
      <c r="S112" s="139"/>
      <c r="T112" s="139"/>
      <c r="U112" s="454">
        <f t="shared" si="9"/>
        <v>20000000</v>
      </c>
      <c r="V112" s="458" t="s">
        <v>1266</v>
      </c>
      <c r="W112" s="23" t="s">
        <v>1081</v>
      </c>
      <c r="X112" s="28" t="s">
        <v>1082</v>
      </c>
      <c r="Y112" s="612">
        <v>16858</v>
      </c>
      <c r="Z112" s="612">
        <v>17663</v>
      </c>
      <c r="AA112" s="612">
        <v>26731</v>
      </c>
      <c r="AB112" s="612">
        <v>6574</v>
      </c>
      <c r="AC112" s="612">
        <v>877</v>
      </c>
      <c r="AD112" s="612">
        <v>339</v>
      </c>
      <c r="AE112" s="612">
        <v>411</v>
      </c>
      <c r="AF112" s="612">
        <v>333</v>
      </c>
      <c r="AG112" s="612">
        <v>1</v>
      </c>
      <c r="AH112" s="612">
        <v>0</v>
      </c>
      <c r="AI112" s="612">
        <v>0</v>
      </c>
      <c r="AJ112" s="612">
        <v>0</v>
      </c>
      <c r="AK112" s="612">
        <v>0</v>
      </c>
      <c r="AL112" s="612">
        <v>1684</v>
      </c>
      <c r="AM112" s="612">
        <v>4038</v>
      </c>
      <c r="AN112" s="612">
        <f t="shared" si="10"/>
        <v>34521</v>
      </c>
      <c r="AO112" s="106">
        <v>46023</v>
      </c>
      <c r="AP112" s="106">
        <v>46387</v>
      </c>
      <c r="AQ112" s="110" t="s">
        <v>1028</v>
      </c>
    </row>
    <row r="113" spans="1:43" ht="74.25" hidden="1" customHeight="1">
      <c r="A113" s="102">
        <v>1</v>
      </c>
      <c r="B113" s="682" t="s">
        <v>513</v>
      </c>
      <c r="C113" s="102">
        <v>22</v>
      </c>
      <c r="D113" s="102" t="s">
        <v>1021</v>
      </c>
      <c r="E113" s="102">
        <v>2201</v>
      </c>
      <c r="F113" s="682" t="s">
        <v>379</v>
      </c>
      <c r="G113" s="102">
        <v>2201071</v>
      </c>
      <c r="H113" s="682" t="s">
        <v>1188</v>
      </c>
      <c r="I113" s="102">
        <v>220107100</v>
      </c>
      <c r="J113" s="682" t="s">
        <v>1189</v>
      </c>
      <c r="K113" s="115">
        <v>54</v>
      </c>
      <c r="L113" s="115"/>
      <c r="M113" s="115">
        <v>54</v>
      </c>
      <c r="N113" s="114">
        <v>2024003630025</v>
      </c>
      <c r="O113" s="686" t="s">
        <v>1190</v>
      </c>
      <c r="P113" s="683" t="s">
        <v>1267</v>
      </c>
      <c r="Q113" s="687">
        <v>1721833264</v>
      </c>
      <c r="R113" s="138"/>
      <c r="S113" s="139"/>
      <c r="T113" s="139"/>
      <c r="U113" s="454">
        <f t="shared" si="9"/>
        <v>1721833264</v>
      </c>
      <c r="V113" s="458" t="s">
        <v>1268</v>
      </c>
      <c r="W113" s="23" t="s">
        <v>1081</v>
      </c>
      <c r="X113" s="28" t="s">
        <v>1082</v>
      </c>
      <c r="Y113" s="612">
        <v>16858</v>
      </c>
      <c r="Z113" s="612">
        <v>17663</v>
      </c>
      <c r="AA113" s="612">
        <v>26731</v>
      </c>
      <c r="AB113" s="612">
        <v>6574</v>
      </c>
      <c r="AC113" s="612">
        <v>877</v>
      </c>
      <c r="AD113" s="612">
        <v>339</v>
      </c>
      <c r="AE113" s="612">
        <v>411</v>
      </c>
      <c r="AF113" s="612">
        <v>333</v>
      </c>
      <c r="AG113" s="612">
        <v>1</v>
      </c>
      <c r="AH113" s="612">
        <v>0</v>
      </c>
      <c r="AI113" s="612">
        <v>0</v>
      </c>
      <c r="AJ113" s="612">
        <v>0</v>
      </c>
      <c r="AK113" s="612">
        <v>0</v>
      </c>
      <c r="AL113" s="612">
        <v>1684</v>
      </c>
      <c r="AM113" s="612">
        <v>4038</v>
      </c>
      <c r="AN113" s="612">
        <f t="shared" si="10"/>
        <v>34521</v>
      </c>
      <c r="AO113" s="106">
        <v>46023</v>
      </c>
      <c r="AP113" s="106">
        <v>46387</v>
      </c>
      <c r="AQ113" s="110" t="s">
        <v>1028</v>
      </c>
    </row>
    <row r="114" spans="1:43" ht="74.25" hidden="1" customHeight="1">
      <c r="A114" s="102">
        <v>1</v>
      </c>
      <c r="B114" s="682" t="s">
        <v>513</v>
      </c>
      <c r="C114" s="102">
        <v>22</v>
      </c>
      <c r="D114" s="102" t="s">
        <v>1021</v>
      </c>
      <c r="E114" s="102">
        <v>2201</v>
      </c>
      <c r="F114" s="682" t="s">
        <v>379</v>
      </c>
      <c r="G114" s="102">
        <v>2201071</v>
      </c>
      <c r="H114" s="682" t="s">
        <v>1188</v>
      </c>
      <c r="I114" s="102">
        <v>220107100</v>
      </c>
      <c r="J114" s="682" t="s">
        <v>1189</v>
      </c>
      <c r="K114" s="115">
        <v>54</v>
      </c>
      <c r="L114" s="115"/>
      <c r="M114" s="115">
        <v>54</v>
      </c>
      <c r="N114" s="114">
        <v>2024003630025</v>
      </c>
      <c r="O114" s="686" t="s">
        <v>1190</v>
      </c>
      <c r="P114" s="683" t="s">
        <v>1269</v>
      </c>
      <c r="Q114" s="687">
        <v>26088093</v>
      </c>
      <c r="R114" s="138"/>
      <c r="S114" s="139"/>
      <c r="T114" s="139"/>
      <c r="U114" s="454">
        <f t="shared" si="9"/>
        <v>26088093</v>
      </c>
      <c r="V114" s="458" t="s">
        <v>1270</v>
      </c>
      <c r="W114" s="23" t="s">
        <v>1081</v>
      </c>
      <c r="X114" s="28" t="s">
        <v>1082</v>
      </c>
      <c r="Y114" s="612">
        <v>16858</v>
      </c>
      <c r="Z114" s="612">
        <v>17663</v>
      </c>
      <c r="AA114" s="612">
        <v>26731</v>
      </c>
      <c r="AB114" s="612">
        <v>6574</v>
      </c>
      <c r="AC114" s="612">
        <v>877</v>
      </c>
      <c r="AD114" s="612">
        <v>339</v>
      </c>
      <c r="AE114" s="612">
        <v>411</v>
      </c>
      <c r="AF114" s="612">
        <v>333</v>
      </c>
      <c r="AG114" s="612">
        <v>1</v>
      </c>
      <c r="AH114" s="612">
        <v>0</v>
      </c>
      <c r="AI114" s="612">
        <v>0</v>
      </c>
      <c r="AJ114" s="612">
        <v>0</v>
      </c>
      <c r="AK114" s="612">
        <v>0</v>
      </c>
      <c r="AL114" s="612">
        <v>1684</v>
      </c>
      <c r="AM114" s="612">
        <v>4038</v>
      </c>
      <c r="AN114" s="612">
        <f t="shared" si="10"/>
        <v>34521</v>
      </c>
      <c r="AO114" s="106">
        <v>46023</v>
      </c>
      <c r="AP114" s="106">
        <v>46387</v>
      </c>
      <c r="AQ114" s="110" t="s">
        <v>1028</v>
      </c>
    </row>
    <row r="115" spans="1:43" ht="74.25" hidden="1" customHeight="1">
      <c r="A115" s="102">
        <v>1</v>
      </c>
      <c r="B115" s="682" t="s">
        <v>513</v>
      </c>
      <c r="C115" s="102">
        <v>22</v>
      </c>
      <c r="D115" s="102" t="s">
        <v>1021</v>
      </c>
      <c r="E115" s="102">
        <v>2201</v>
      </c>
      <c r="F115" s="682" t="s">
        <v>379</v>
      </c>
      <c r="G115" s="102">
        <v>2201071</v>
      </c>
      <c r="H115" s="682" t="s">
        <v>1188</v>
      </c>
      <c r="I115" s="102">
        <v>220107100</v>
      </c>
      <c r="J115" s="682" t="s">
        <v>1189</v>
      </c>
      <c r="K115" s="115">
        <v>54</v>
      </c>
      <c r="L115" s="115"/>
      <c r="M115" s="115">
        <v>54</v>
      </c>
      <c r="N115" s="114">
        <v>2024003630025</v>
      </c>
      <c r="O115" s="686" t="s">
        <v>1190</v>
      </c>
      <c r="P115" s="683" t="s">
        <v>1271</v>
      </c>
      <c r="Q115" s="687">
        <v>4025990150</v>
      </c>
      <c r="R115" s="138"/>
      <c r="S115" s="139"/>
      <c r="T115" s="139"/>
      <c r="U115" s="454">
        <f t="shared" si="9"/>
        <v>4025990150</v>
      </c>
      <c r="V115" s="458" t="s">
        <v>1272</v>
      </c>
      <c r="W115" s="23" t="s">
        <v>1081</v>
      </c>
      <c r="X115" s="28" t="s">
        <v>1082</v>
      </c>
      <c r="Y115" s="612">
        <v>16858</v>
      </c>
      <c r="Z115" s="612">
        <v>17663</v>
      </c>
      <c r="AA115" s="612">
        <v>26731</v>
      </c>
      <c r="AB115" s="612">
        <v>6574</v>
      </c>
      <c r="AC115" s="612">
        <v>877</v>
      </c>
      <c r="AD115" s="612">
        <v>339</v>
      </c>
      <c r="AE115" s="612">
        <v>411</v>
      </c>
      <c r="AF115" s="612">
        <v>333</v>
      </c>
      <c r="AG115" s="612">
        <v>1</v>
      </c>
      <c r="AH115" s="612">
        <v>0</v>
      </c>
      <c r="AI115" s="612">
        <v>0</v>
      </c>
      <c r="AJ115" s="612">
        <v>0</v>
      </c>
      <c r="AK115" s="612">
        <v>0</v>
      </c>
      <c r="AL115" s="612">
        <v>1684</v>
      </c>
      <c r="AM115" s="612">
        <v>4038</v>
      </c>
      <c r="AN115" s="612">
        <f t="shared" si="10"/>
        <v>34521</v>
      </c>
      <c r="AO115" s="106">
        <v>46023</v>
      </c>
      <c r="AP115" s="106">
        <v>46387</v>
      </c>
      <c r="AQ115" s="110" t="s">
        <v>1028</v>
      </c>
    </row>
    <row r="116" spans="1:43" ht="74.25" hidden="1" customHeight="1">
      <c r="A116" s="102">
        <v>1</v>
      </c>
      <c r="B116" s="682" t="s">
        <v>513</v>
      </c>
      <c r="C116" s="102">
        <v>22</v>
      </c>
      <c r="D116" s="102" t="s">
        <v>1021</v>
      </c>
      <c r="E116" s="102">
        <v>2201</v>
      </c>
      <c r="F116" s="682" t="s">
        <v>379</v>
      </c>
      <c r="G116" s="102">
        <v>2201071</v>
      </c>
      <c r="H116" s="682" t="s">
        <v>1188</v>
      </c>
      <c r="I116" s="102">
        <v>220107100</v>
      </c>
      <c r="J116" s="682" t="s">
        <v>1189</v>
      </c>
      <c r="K116" s="115">
        <v>54</v>
      </c>
      <c r="L116" s="115"/>
      <c r="M116" s="115">
        <v>54</v>
      </c>
      <c r="N116" s="114">
        <v>2024003630025</v>
      </c>
      <c r="O116" s="686" t="s">
        <v>1190</v>
      </c>
      <c r="P116" s="683" t="s">
        <v>1273</v>
      </c>
      <c r="Q116" s="687">
        <v>4768573355</v>
      </c>
      <c r="R116" s="138"/>
      <c r="S116" s="139"/>
      <c r="T116" s="139"/>
      <c r="U116" s="454">
        <f t="shared" si="9"/>
        <v>4768573355</v>
      </c>
      <c r="V116" s="458" t="s">
        <v>1274</v>
      </c>
      <c r="W116" s="23" t="s">
        <v>1081</v>
      </c>
      <c r="X116" s="28" t="s">
        <v>1082</v>
      </c>
      <c r="Y116" s="612">
        <v>16858</v>
      </c>
      <c r="Z116" s="612">
        <v>17663</v>
      </c>
      <c r="AA116" s="612">
        <v>26731</v>
      </c>
      <c r="AB116" s="612">
        <v>6574</v>
      </c>
      <c r="AC116" s="612">
        <v>877</v>
      </c>
      <c r="AD116" s="612">
        <v>339</v>
      </c>
      <c r="AE116" s="612">
        <v>411</v>
      </c>
      <c r="AF116" s="612">
        <v>333</v>
      </c>
      <c r="AG116" s="612">
        <v>1</v>
      </c>
      <c r="AH116" s="612">
        <v>0</v>
      </c>
      <c r="AI116" s="612">
        <v>0</v>
      </c>
      <c r="AJ116" s="612">
        <v>0</v>
      </c>
      <c r="AK116" s="612">
        <v>0</v>
      </c>
      <c r="AL116" s="612">
        <v>1684</v>
      </c>
      <c r="AM116" s="612">
        <v>4038</v>
      </c>
      <c r="AN116" s="612">
        <f t="shared" si="10"/>
        <v>34521</v>
      </c>
      <c r="AO116" s="106">
        <v>46023</v>
      </c>
      <c r="AP116" s="106">
        <v>46387</v>
      </c>
      <c r="AQ116" s="110" t="s">
        <v>1028</v>
      </c>
    </row>
    <row r="117" spans="1:43" ht="74.25" hidden="1" customHeight="1">
      <c r="A117" s="102">
        <v>1</v>
      </c>
      <c r="B117" s="682" t="s">
        <v>513</v>
      </c>
      <c r="C117" s="102">
        <v>22</v>
      </c>
      <c r="D117" s="102" t="s">
        <v>1021</v>
      </c>
      <c r="E117" s="102">
        <v>2201</v>
      </c>
      <c r="F117" s="682" t="s">
        <v>379</v>
      </c>
      <c r="G117" s="102">
        <v>2201071</v>
      </c>
      <c r="H117" s="682" t="s">
        <v>1188</v>
      </c>
      <c r="I117" s="102">
        <v>220107100</v>
      </c>
      <c r="J117" s="682" t="s">
        <v>1189</v>
      </c>
      <c r="K117" s="115">
        <v>54</v>
      </c>
      <c r="L117" s="115"/>
      <c r="M117" s="115">
        <v>54</v>
      </c>
      <c r="N117" s="114">
        <v>2024003630025</v>
      </c>
      <c r="O117" s="686" t="s">
        <v>1190</v>
      </c>
      <c r="P117" s="683" t="s">
        <v>1275</v>
      </c>
      <c r="Q117" s="687">
        <v>629005650</v>
      </c>
      <c r="R117" s="138"/>
      <c r="S117" s="139"/>
      <c r="T117" s="139"/>
      <c r="U117" s="454">
        <f t="shared" si="9"/>
        <v>629005650</v>
      </c>
      <c r="V117" s="458" t="s">
        <v>1276</v>
      </c>
      <c r="W117" s="23" t="s">
        <v>1081</v>
      </c>
      <c r="X117" s="28" t="s">
        <v>1082</v>
      </c>
      <c r="Y117" s="612">
        <v>16858</v>
      </c>
      <c r="Z117" s="612">
        <v>17663</v>
      </c>
      <c r="AA117" s="612">
        <v>26731</v>
      </c>
      <c r="AB117" s="612">
        <v>6574</v>
      </c>
      <c r="AC117" s="612">
        <v>877</v>
      </c>
      <c r="AD117" s="612">
        <v>339</v>
      </c>
      <c r="AE117" s="612">
        <v>411</v>
      </c>
      <c r="AF117" s="612">
        <v>333</v>
      </c>
      <c r="AG117" s="612">
        <v>1</v>
      </c>
      <c r="AH117" s="612">
        <v>0</v>
      </c>
      <c r="AI117" s="612">
        <v>0</v>
      </c>
      <c r="AJ117" s="612">
        <v>0</v>
      </c>
      <c r="AK117" s="612">
        <v>0</v>
      </c>
      <c r="AL117" s="612">
        <v>1684</v>
      </c>
      <c r="AM117" s="612">
        <v>4038</v>
      </c>
      <c r="AN117" s="612">
        <f t="shared" si="10"/>
        <v>34521</v>
      </c>
      <c r="AO117" s="106">
        <v>46023</v>
      </c>
      <c r="AP117" s="106">
        <v>46387</v>
      </c>
      <c r="AQ117" s="110" t="s">
        <v>1028</v>
      </c>
    </row>
    <row r="118" spans="1:43" ht="74.25" hidden="1" customHeight="1">
      <c r="A118" s="102">
        <v>1</v>
      </c>
      <c r="B118" s="682" t="s">
        <v>513</v>
      </c>
      <c r="C118" s="102">
        <v>22</v>
      </c>
      <c r="D118" s="102" t="s">
        <v>1021</v>
      </c>
      <c r="E118" s="102">
        <v>2201</v>
      </c>
      <c r="F118" s="682" t="s">
        <v>379</v>
      </c>
      <c r="G118" s="102">
        <v>2201071</v>
      </c>
      <c r="H118" s="682" t="s">
        <v>1188</v>
      </c>
      <c r="I118" s="102">
        <v>220107100</v>
      </c>
      <c r="J118" s="682" t="s">
        <v>1189</v>
      </c>
      <c r="K118" s="115">
        <v>54</v>
      </c>
      <c r="L118" s="115"/>
      <c r="M118" s="115">
        <v>54</v>
      </c>
      <c r="N118" s="114">
        <v>2024003630025</v>
      </c>
      <c r="O118" s="686" t="s">
        <v>1190</v>
      </c>
      <c r="P118" s="683" t="s">
        <v>1277</v>
      </c>
      <c r="Q118" s="687">
        <v>629005650</v>
      </c>
      <c r="R118" s="138"/>
      <c r="S118" s="139"/>
      <c r="T118" s="139"/>
      <c r="U118" s="454">
        <f t="shared" si="9"/>
        <v>629005650</v>
      </c>
      <c r="V118" s="458" t="s">
        <v>1278</v>
      </c>
      <c r="W118" s="23" t="s">
        <v>1081</v>
      </c>
      <c r="X118" s="28" t="s">
        <v>1082</v>
      </c>
      <c r="Y118" s="612">
        <v>16858</v>
      </c>
      <c r="Z118" s="612">
        <v>17663</v>
      </c>
      <c r="AA118" s="612">
        <v>26731</v>
      </c>
      <c r="AB118" s="612">
        <v>6574</v>
      </c>
      <c r="AC118" s="612">
        <v>877</v>
      </c>
      <c r="AD118" s="612">
        <v>339</v>
      </c>
      <c r="AE118" s="612">
        <v>411</v>
      </c>
      <c r="AF118" s="612">
        <v>333</v>
      </c>
      <c r="AG118" s="612">
        <v>1</v>
      </c>
      <c r="AH118" s="612">
        <v>0</v>
      </c>
      <c r="AI118" s="612">
        <v>0</v>
      </c>
      <c r="AJ118" s="612">
        <v>0</v>
      </c>
      <c r="AK118" s="612">
        <v>0</v>
      </c>
      <c r="AL118" s="612">
        <v>1684</v>
      </c>
      <c r="AM118" s="612">
        <v>4038</v>
      </c>
      <c r="AN118" s="612">
        <f t="shared" si="10"/>
        <v>34521</v>
      </c>
      <c r="AO118" s="106">
        <v>46023</v>
      </c>
      <c r="AP118" s="106">
        <v>46387</v>
      </c>
      <c r="AQ118" s="110" t="s">
        <v>1028</v>
      </c>
    </row>
    <row r="119" spans="1:43" ht="74.25" hidden="1" customHeight="1">
      <c r="A119" s="102">
        <v>1</v>
      </c>
      <c r="B119" s="682" t="s">
        <v>513</v>
      </c>
      <c r="C119" s="102">
        <v>22</v>
      </c>
      <c r="D119" s="102" t="s">
        <v>1021</v>
      </c>
      <c r="E119" s="102">
        <v>2201</v>
      </c>
      <c r="F119" s="682" t="s">
        <v>379</v>
      </c>
      <c r="G119" s="102">
        <v>2201071</v>
      </c>
      <c r="H119" s="682" t="s">
        <v>1188</v>
      </c>
      <c r="I119" s="102">
        <v>220107100</v>
      </c>
      <c r="J119" s="682" t="s">
        <v>1189</v>
      </c>
      <c r="K119" s="115">
        <v>54</v>
      </c>
      <c r="L119" s="115"/>
      <c r="M119" s="115">
        <v>54</v>
      </c>
      <c r="N119" s="114">
        <v>2024003630025</v>
      </c>
      <c r="O119" s="686" t="s">
        <v>1190</v>
      </c>
      <c r="P119" s="683" t="s">
        <v>1279</v>
      </c>
      <c r="Q119" s="687">
        <v>1257084465</v>
      </c>
      <c r="R119" s="138"/>
      <c r="S119" s="139"/>
      <c r="T119" s="139"/>
      <c r="U119" s="454">
        <f t="shared" si="9"/>
        <v>1257084465</v>
      </c>
      <c r="V119" s="458" t="s">
        <v>1280</v>
      </c>
      <c r="W119" s="23" t="s">
        <v>1081</v>
      </c>
      <c r="X119" s="28" t="s">
        <v>1082</v>
      </c>
      <c r="Y119" s="612">
        <v>16858</v>
      </c>
      <c r="Z119" s="612">
        <v>17663</v>
      </c>
      <c r="AA119" s="612">
        <v>26731</v>
      </c>
      <c r="AB119" s="612">
        <v>6574</v>
      </c>
      <c r="AC119" s="612">
        <v>877</v>
      </c>
      <c r="AD119" s="612">
        <v>339</v>
      </c>
      <c r="AE119" s="612">
        <v>411</v>
      </c>
      <c r="AF119" s="612">
        <v>333</v>
      </c>
      <c r="AG119" s="612">
        <v>1</v>
      </c>
      <c r="AH119" s="612">
        <v>0</v>
      </c>
      <c r="AI119" s="612">
        <v>0</v>
      </c>
      <c r="AJ119" s="612">
        <v>0</v>
      </c>
      <c r="AK119" s="612">
        <v>0</v>
      </c>
      <c r="AL119" s="612">
        <v>1684</v>
      </c>
      <c r="AM119" s="612">
        <v>4038</v>
      </c>
      <c r="AN119" s="612">
        <f t="shared" si="10"/>
        <v>34521</v>
      </c>
      <c r="AO119" s="106">
        <v>46023</v>
      </c>
      <c r="AP119" s="106">
        <v>46387</v>
      </c>
      <c r="AQ119" s="110" t="s">
        <v>1028</v>
      </c>
    </row>
    <row r="120" spans="1:43" ht="74.25" hidden="1" customHeight="1">
      <c r="A120" s="102">
        <v>1</v>
      </c>
      <c r="B120" s="682" t="s">
        <v>513</v>
      </c>
      <c r="C120" s="102">
        <v>22</v>
      </c>
      <c r="D120" s="102" t="s">
        <v>1021</v>
      </c>
      <c r="E120" s="102">
        <v>2201</v>
      </c>
      <c r="F120" s="682" t="s">
        <v>379</v>
      </c>
      <c r="G120" s="102">
        <v>2201071</v>
      </c>
      <c r="H120" s="682" t="s">
        <v>1188</v>
      </c>
      <c r="I120" s="102">
        <v>220107100</v>
      </c>
      <c r="J120" s="682" t="s">
        <v>1189</v>
      </c>
      <c r="K120" s="115">
        <v>54</v>
      </c>
      <c r="L120" s="115"/>
      <c r="M120" s="115">
        <v>54</v>
      </c>
      <c r="N120" s="114">
        <v>2024003630025</v>
      </c>
      <c r="O120" s="686" t="s">
        <v>1190</v>
      </c>
      <c r="P120" s="683" t="s">
        <v>1281</v>
      </c>
      <c r="Q120" s="687">
        <v>1048466712</v>
      </c>
      <c r="R120" s="138"/>
      <c r="S120" s="139"/>
      <c r="T120" s="139"/>
      <c r="U120" s="454">
        <f t="shared" si="9"/>
        <v>1048466712</v>
      </c>
      <c r="V120" s="458" t="s">
        <v>1282</v>
      </c>
      <c r="W120" s="23" t="s">
        <v>1081</v>
      </c>
      <c r="X120" s="28" t="s">
        <v>1082</v>
      </c>
      <c r="Y120" s="612">
        <v>16858</v>
      </c>
      <c r="Z120" s="612">
        <v>17663</v>
      </c>
      <c r="AA120" s="612">
        <v>26731</v>
      </c>
      <c r="AB120" s="612">
        <v>6574</v>
      </c>
      <c r="AC120" s="612">
        <v>877</v>
      </c>
      <c r="AD120" s="612">
        <v>339</v>
      </c>
      <c r="AE120" s="612">
        <v>411</v>
      </c>
      <c r="AF120" s="612">
        <v>333</v>
      </c>
      <c r="AG120" s="612">
        <v>1</v>
      </c>
      <c r="AH120" s="612">
        <v>0</v>
      </c>
      <c r="AI120" s="612">
        <v>0</v>
      </c>
      <c r="AJ120" s="612">
        <v>0</v>
      </c>
      <c r="AK120" s="612">
        <v>0</v>
      </c>
      <c r="AL120" s="612">
        <v>1684</v>
      </c>
      <c r="AM120" s="612">
        <v>4038</v>
      </c>
      <c r="AN120" s="612">
        <f t="shared" si="10"/>
        <v>34521</v>
      </c>
      <c r="AO120" s="106">
        <v>46023</v>
      </c>
      <c r="AP120" s="106">
        <v>46387</v>
      </c>
      <c r="AQ120" s="110" t="s">
        <v>1028</v>
      </c>
    </row>
    <row r="121" spans="1:43" ht="74.25" hidden="1" customHeight="1">
      <c r="A121" s="102">
        <v>1</v>
      </c>
      <c r="B121" s="682" t="s">
        <v>513</v>
      </c>
      <c r="C121" s="102">
        <v>22</v>
      </c>
      <c r="D121" s="102" t="s">
        <v>1021</v>
      </c>
      <c r="E121" s="102">
        <v>2201</v>
      </c>
      <c r="F121" s="682" t="s">
        <v>379</v>
      </c>
      <c r="G121" s="102">
        <v>2201071</v>
      </c>
      <c r="H121" s="682" t="s">
        <v>1188</v>
      </c>
      <c r="I121" s="102">
        <v>220107100</v>
      </c>
      <c r="J121" s="682" t="s">
        <v>1189</v>
      </c>
      <c r="K121" s="115">
        <v>54</v>
      </c>
      <c r="L121" s="115"/>
      <c r="M121" s="115">
        <v>54</v>
      </c>
      <c r="N121" s="114">
        <v>2024003630025</v>
      </c>
      <c r="O121" s="686" t="s">
        <v>1190</v>
      </c>
      <c r="P121" s="683" t="s">
        <v>1283</v>
      </c>
      <c r="Q121" s="687">
        <v>1303805276</v>
      </c>
      <c r="R121" s="138"/>
      <c r="S121" s="139"/>
      <c r="T121" s="139"/>
      <c r="U121" s="454">
        <f t="shared" si="9"/>
        <v>1303805276</v>
      </c>
      <c r="V121" s="458" t="s">
        <v>1284</v>
      </c>
      <c r="W121" s="23" t="s">
        <v>1081</v>
      </c>
      <c r="X121" s="28" t="s">
        <v>1082</v>
      </c>
      <c r="Y121" s="612">
        <v>16858</v>
      </c>
      <c r="Z121" s="612">
        <v>17663</v>
      </c>
      <c r="AA121" s="612">
        <v>26731</v>
      </c>
      <c r="AB121" s="612">
        <v>6574</v>
      </c>
      <c r="AC121" s="612">
        <v>877</v>
      </c>
      <c r="AD121" s="612">
        <v>339</v>
      </c>
      <c r="AE121" s="612">
        <v>411</v>
      </c>
      <c r="AF121" s="612">
        <v>333</v>
      </c>
      <c r="AG121" s="612">
        <v>1</v>
      </c>
      <c r="AH121" s="612">
        <v>0</v>
      </c>
      <c r="AI121" s="612">
        <v>0</v>
      </c>
      <c r="AJ121" s="612">
        <v>0</v>
      </c>
      <c r="AK121" s="612">
        <v>0</v>
      </c>
      <c r="AL121" s="612">
        <v>1684</v>
      </c>
      <c r="AM121" s="612">
        <v>4038</v>
      </c>
      <c r="AN121" s="612">
        <f t="shared" si="10"/>
        <v>34521</v>
      </c>
      <c r="AO121" s="106">
        <v>46023</v>
      </c>
      <c r="AP121" s="106">
        <v>46387</v>
      </c>
      <c r="AQ121" s="110" t="s">
        <v>1028</v>
      </c>
    </row>
    <row r="122" spans="1:43" ht="74.25" hidden="1" customHeight="1">
      <c r="A122" s="102">
        <v>1</v>
      </c>
      <c r="B122" s="682" t="s">
        <v>513</v>
      </c>
      <c r="C122" s="102">
        <v>22</v>
      </c>
      <c r="D122" s="102" t="s">
        <v>1021</v>
      </c>
      <c r="E122" s="102">
        <v>2201</v>
      </c>
      <c r="F122" s="682" t="s">
        <v>379</v>
      </c>
      <c r="G122" s="102">
        <v>2201071</v>
      </c>
      <c r="H122" s="682" t="s">
        <v>1188</v>
      </c>
      <c r="I122" s="102">
        <v>220107100</v>
      </c>
      <c r="J122" s="682" t="s">
        <v>1189</v>
      </c>
      <c r="K122" s="115">
        <v>54</v>
      </c>
      <c r="L122" s="115"/>
      <c r="M122" s="115">
        <v>54</v>
      </c>
      <c r="N122" s="114">
        <v>2024003630025</v>
      </c>
      <c r="O122" s="686" t="s">
        <v>1190</v>
      </c>
      <c r="P122" s="683" t="s">
        <v>1285</v>
      </c>
      <c r="Q122" s="687">
        <v>105000000</v>
      </c>
      <c r="R122" s="138"/>
      <c r="S122" s="139"/>
      <c r="T122" s="139"/>
      <c r="U122" s="454">
        <f t="shared" si="9"/>
        <v>105000000</v>
      </c>
      <c r="V122" s="458" t="s">
        <v>1286</v>
      </c>
      <c r="W122" s="23" t="s">
        <v>1081</v>
      </c>
      <c r="X122" s="28" t="s">
        <v>1082</v>
      </c>
      <c r="Y122" s="612">
        <v>16858</v>
      </c>
      <c r="Z122" s="612">
        <v>17663</v>
      </c>
      <c r="AA122" s="612">
        <v>26731</v>
      </c>
      <c r="AB122" s="612">
        <v>6574</v>
      </c>
      <c r="AC122" s="612">
        <v>877</v>
      </c>
      <c r="AD122" s="612">
        <v>339</v>
      </c>
      <c r="AE122" s="612">
        <v>411</v>
      </c>
      <c r="AF122" s="612">
        <v>333</v>
      </c>
      <c r="AG122" s="612">
        <v>1</v>
      </c>
      <c r="AH122" s="612">
        <v>0</v>
      </c>
      <c r="AI122" s="612">
        <v>0</v>
      </c>
      <c r="AJ122" s="612">
        <v>0</v>
      </c>
      <c r="AK122" s="612">
        <v>0</v>
      </c>
      <c r="AL122" s="612">
        <v>1684</v>
      </c>
      <c r="AM122" s="612">
        <v>4038</v>
      </c>
      <c r="AN122" s="612">
        <f t="shared" si="10"/>
        <v>34521</v>
      </c>
      <c r="AO122" s="106">
        <v>46023</v>
      </c>
      <c r="AP122" s="106">
        <v>46387</v>
      </c>
      <c r="AQ122" s="110" t="s">
        <v>1028</v>
      </c>
    </row>
    <row r="123" spans="1:43" ht="74.25" hidden="1" customHeight="1">
      <c r="A123" s="102">
        <v>1</v>
      </c>
      <c r="B123" s="682" t="s">
        <v>513</v>
      </c>
      <c r="C123" s="102">
        <v>22</v>
      </c>
      <c r="D123" s="102" t="s">
        <v>1021</v>
      </c>
      <c r="E123" s="102">
        <v>2201</v>
      </c>
      <c r="F123" s="682" t="s">
        <v>379</v>
      </c>
      <c r="G123" s="102">
        <v>2201071</v>
      </c>
      <c r="H123" s="682" t="s">
        <v>1188</v>
      </c>
      <c r="I123" s="102">
        <v>220107100</v>
      </c>
      <c r="J123" s="682" t="s">
        <v>1189</v>
      </c>
      <c r="K123" s="115">
        <v>54</v>
      </c>
      <c r="L123" s="115"/>
      <c r="M123" s="115">
        <v>54</v>
      </c>
      <c r="N123" s="114">
        <v>2024003630025</v>
      </c>
      <c r="O123" s="686" t="s">
        <v>1190</v>
      </c>
      <c r="P123" s="683" t="s">
        <v>1287</v>
      </c>
      <c r="Q123" s="687">
        <v>15000000</v>
      </c>
      <c r="R123" s="138"/>
      <c r="S123" s="139"/>
      <c r="T123" s="139"/>
      <c r="U123" s="454">
        <f t="shared" si="9"/>
        <v>15000000</v>
      </c>
      <c r="V123" s="458" t="s">
        <v>1288</v>
      </c>
      <c r="W123" s="23" t="s">
        <v>1081</v>
      </c>
      <c r="X123" s="28" t="s">
        <v>1082</v>
      </c>
      <c r="Y123" s="612">
        <v>16858</v>
      </c>
      <c r="Z123" s="612">
        <v>17663</v>
      </c>
      <c r="AA123" s="612">
        <v>26731</v>
      </c>
      <c r="AB123" s="612">
        <v>6574</v>
      </c>
      <c r="AC123" s="612">
        <v>877</v>
      </c>
      <c r="AD123" s="612">
        <v>339</v>
      </c>
      <c r="AE123" s="612">
        <v>411</v>
      </c>
      <c r="AF123" s="612">
        <v>333</v>
      </c>
      <c r="AG123" s="612">
        <v>1</v>
      </c>
      <c r="AH123" s="612">
        <v>0</v>
      </c>
      <c r="AI123" s="612">
        <v>0</v>
      </c>
      <c r="AJ123" s="612">
        <v>0</v>
      </c>
      <c r="AK123" s="612">
        <v>0</v>
      </c>
      <c r="AL123" s="612">
        <v>1684</v>
      </c>
      <c r="AM123" s="612">
        <v>4038</v>
      </c>
      <c r="AN123" s="612">
        <f t="shared" si="10"/>
        <v>34521</v>
      </c>
      <c r="AO123" s="106">
        <v>46023</v>
      </c>
      <c r="AP123" s="106">
        <v>46387</v>
      </c>
      <c r="AQ123" s="110" t="s">
        <v>1028</v>
      </c>
    </row>
    <row r="124" spans="1:43" ht="74.25" hidden="1" customHeight="1">
      <c r="A124" s="102">
        <v>1</v>
      </c>
      <c r="B124" s="682" t="s">
        <v>513</v>
      </c>
      <c r="C124" s="102">
        <v>22</v>
      </c>
      <c r="D124" s="102" t="s">
        <v>1021</v>
      </c>
      <c r="E124" s="102">
        <v>2201</v>
      </c>
      <c r="F124" s="682" t="s">
        <v>379</v>
      </c>
      <c r="G124" s="102">
        <v>2201071</v>
      </c>
      <c r="H124" s="682" t="s">
        <v>1188</v>
      </c>
      <c r="I124" s="102">
        <v>220107100</v>
      </c>
      <c r="J124" s="682" t="s">
        <v>1189</v>
      </c>
      <c r="K124" s="115">
        <v>54</v>
      </c>
      <c r="L124" s="115"/>
      <c r="M124" s="115">
        <v>54</v>
      </c>
      <c r="N124" s="114">
        <v>2024003630025</v>
      </c>
      <c r="O124" s="686" t="s">
        <v>1190</v>
      </c>
      <c r="P124" s="683" t="s">
        <v>1289</v>
      </c>
      <c r="Q124" s="687">
        <v>656567856</v>
      </c>
      <c r="R124" s="138">
        <f>137091859+250759690+147029928+121123333</f>
        <v>656004810</v>
      </c>
      <c r="S124" s="139"/>
      <c r="T124" s="139"/>
      <c r="U124" s="454">
        <f t="shared" si="9"/>
        <v>563046</v>
      </c>
      <c r="V124" s="458" t="s">
        <v>1290</v>
      </c>
      <c r="W124" s="23" t="s">
        <v>1081</v>
      </c>
      <c r="X124" s="28" t="s">
        <v>1082</v>
      </c>
      <c r="Y124" s="612">
        <v>16858</v>
      </c>
      <c r="Z124" s="612">
        <v>17663</v>
      </c>
      <c r="AA124" s="612">
        <v>26731</v>
      </c>
      <c r="AB124" s="612">
        <v>6574</v>
      </c>
      <c r="AC124" s="612">
        <v>877</v>
      </c>
      <c r="AD124" s="612">
        <v>339</v>
      </c>
      <c r="AE124" s="612">
        <v>411</v>
      </c>
      <c r="AF124" s="612">
        <v>333</v>
      </c>
      <c r="AG124" s="612">
        <v>1</v>
      </c>
      <c r="AH124" s="612">
        <v>0</v>
      </c>
      <c r="AI124" s="612">
        <v>0</v>
      </c>
      <c r="AJ124" s="612">
        <v>0</v>
      </c>
      <c r="AK124" s="612">
        <v>0</v>
      </c>
      <c r="AL124" s="612">
        <v>1684</v>
      </c>
      <c r="AM124" s="612">
        <v>4038</v>
      </c>
      <c r="AN124" s="612">
        <f t="shared" si="10"/>
        <v>34521</v>
      </c>
      <c r="AO124" s="106">
        <v>46023</v>
      </c>
      <c r="AP124" s="106">
        <v>46387</v>
      </c>
      <c r="AQ124" s="110" t="s">
        <v>1028</v>
      </c>
    </row>
    <row r="125" spans="1:43" ht="74.25" hidden="1" customHeight="1">
      <c r="A125" s="102">
        <v>1</v>
      </c>
      <c r="B125" s="682" t="s">
        <v>513</v>
      </c>
      <c r="C125" s="102">
        <v>22</v>
      </c>
      <c r="D125" s="102" t="s">
        <v>1021</v>
      </c>
      <c r="E125" s="102">
        <v>2201</v>
      </c>
      <c r="F125" s="682" t="s">
        <v>379</v>
      </c>
      <c r="G125" s="102">
        <v>2201071</v>
      </c>
      <c r="H125" s="682" t="s">
        <v>1188</v>
      </c>
      <c r="I125" s="102">
        <v>220107100</v>
      </c>
      <c r="J125" s="682" t="s">
        <v>1189</v>
      </c>
      <c r="K125" s="115">
        <v>54</v>
      </c>
      <c r="L125" s="115"/>
      <c r="M125" s="115">
        <v>54</v>
      </c>
      <c r="N125" s="114">
        <v>2024003630025</v>
      </c>
      <c r="O125" s="686" t="s">
        <v>1190</v>
      </c>
      <c r="P125" s="683" t="s">
        <v>1291</v>
      </c>
      <c r="Q125" s="687">
        <v>15000000</v>
      </c>
      <c r="R125" s="138"/>
      <c r="S125" s="139"/>
      <c r="T125" s="139"/>
      <c r="U125" s="454">
        <f t="shared" si="9"/>
        <v>15000000</v>
      </c>
      <c r="V125" s="458" t="s">
        <v>1292</v>
      </c>
      <c r="W125" s="23" t="s">
        <v>1081</v>
      </c>
      <c r="X125" s="28" t="s">
        <v>1082</v>
      </c>
      <c r="Y125" s="612">
        <v>16858</v>
      </c>
      <c r="Z125" s="612">
        <v>17663</v>
      </c>
      <c r="AA125" s="612">
        <v>26731</v>
      </c>
      <c r="AB125" s="612">
        <v>6574</v>
      </c>
      <c r="AC125" s="612">
        <v>877</v>
      </c>
      <c r="AD125" s="612">
        <v>339</v>
      </c>
      <c r="AE125" s="612">
        <v>411</v>
      </c>
      <c r="AF125" s="612">
        <v>333</v>
      </c>
      <c r="AG125" s="612">
        <v>1</v>
      </c>
      <c r="AH125" s="612">
        <v>0</v>
      </c>
      <c r="AI125" s="612">
        <v>0</v>
      </c>
      <c r="AJ125" s="612">
        <v>0</v>
      </c>
      <c r="AK125" s="612">
        <v>0</v>
      </c>
      <c r="AL125" s="612">
        <v>1684</v>
      </c>
      <c r="AM125" s="612">
        <v>4038</v>
      </c>
      <c r="AN125" s="612">
        <f t="shared" si="10"/>
        <v>34521</v>
      </c>
      <c r="AO125" s="106">
        <v>46023</v>
      </c>
      <c r="AP125" s="106">
        <v>46387</v>
      </c>
      <c r="AQ125" s="110" t="s">
        <v>1028</v>
      </c>
    </row>
    <row r="126" spans="1:43" ht="74.25" hidden="1" customHeight="1">
      <c r="A126" s="102">
        <v>1</v>
      </c>
      <c r="B126" s="682" t="s">
        <v>513</v>
      </c>
      <c r="C126" s="102">
        <v>22</v>
      </c>
      <c r="D126" s="102" t="s">
        <v>1021</v>
      </c>
      <c r="E126" s="102">
        <v>2201</v>
      </c>
      <c r="F126" s="682" t="s">
        <v>379</v>
      </c>
      <c r="G126" s="102">
        <v>2201071</v>
      </c>
      <c r="H126" s="682" t="s">
        <v>1188</v>
      </c>
      <c r="I126" s="102">
        <v>220107100</v>
      </c>
      <c r="J126" s="682" t="s">
        <v>1189</v>
      </c>
      <c r="K126" s="115">
        <v>54</v>
      </c>
      <c r="L126" s="115"/>
      <c r="M126" s="115">
        <v>54</v>
      </c>
      <c r="N126" s="114">
        <v>2024003630025</v>
      </c>
      <c r="O126" s="686" t="s">
        <v>1190</v>
      </c>
      <c r="P126" s="683" t="s">
        <v>1293</v>
      </c>
      <c r="Q126" s="687">
        <v>10000000</v>
      </c>
      <c r="R126" s="138"/>
      <c r="S126" s="139"/>
      <c r="T126" s="139"/>
      <c r="U126" s="454">
        <f t="shared" si="9"/>
        <v>10000000</v>
      </c>
      <c r="V126" s="458" t="s">
        <v>1294</v>
      </c>
      <c r="W126" s="23" t="s">
        <v>1081</v>
      </c>
      <c r="X126" s="28" t="s">
        <v>1082</v>
      </c>
      <c r="Y126" s="612">
        <v>16858</v>
      </c>
      <c r="Z126" s="612">
        <v>17663</v>
      </c>
      <c r="AA126" s="612">
        <v>26731</v>
      </c>
      <c r="AB126" s="612">
        <v>6574</v>
      </c>
      <c r="AC126" s="612">
        <v>877</v>
      </c>
      <c r="AD126" s="612">
        <v>339</v>
      </c>
      <c r="AE126" s="612">
        <v>411</v>
      </c>
      <c r="AF126" s="612">
        <v>333</v>
      </c>
      <c r="AG126" s="612">
        <v>1</v>
      </c>
      <c r="AH126" s="612">
        <v>0</v>
      </c>
      <c r="AI126" s="612">
        <v>0</v>
      </c>
      <c r="AJ126" s="612">
        <v>0</v>
      </c>
      <c r="AK126" s="612">
        <v>0</v>
      </c>
      <c r="AL126" s="612">
        <v>1684</v>
      </c>
      <c r="AM126" s="612">
        <v>4038</v>
      </c>
      <c r="AN126" s="612">
        <f t="shared" si="10"/>
        <v>34521</v>
      </c>
      <c r="AO126" s="106">
        <v>46023</v>
      </c>
      <c r="AP126" s="106">
        <v>46387</v>
      </c>
      <c r="AQ126" s="110" t="s">
        <v>1028</v>
      </c>
    </row>
    <row r="127" spans="1:43" ht="74.25" hidden="1" customHeight="1">
      <c r="A127" s="102">
        <v>1</v>
      </c>
      <c r="B127" s="682" t="s">
        <v>513</v>
      </c>
      <c r="C127" s="102">
        <v>22</v>
      </c>
      <c r="D127" s="102" t="s">
        <v>1021</v>
      </c>
      <c r="E127" s="102">
        <v>2201</v>
      </c>
      <c r="F127" s="682" t="s">
        <v>379</v>
      </c>
      <c r="G127" s="102">
        <v>2201071</v>
      </c>
      <c r="H127" s="682" t="s">
        <v>1188</v>
      </c>
      <c r="I127" s="102">
        <v>220107100</v>
      </c>
      <c r="J127" s="682" t="s">
        <v>1189</v>
      </c>
      <c r="K127" s="115">
        <v>54</v>
      </c>
      <c r="L127" s="115"/>
      <c r="M127" s="115">
        <v>54</v>
      </c>
      <c r="N127" s="114">
        <v>2024003630025</v>
      </c>
      <c r="O127" s="686" t="s">
        <v>1190</v>
      </c>
      <c r="P127" s="683" t="s">
        <v>1295</v>
      </c>
      <c r="Q127" s="687">
        <v>9627384662</v>
      </c>
      <c r="R127" s="138"/>
      <c r="S127" s="139"/>
      <c r="T127" s="139"/>
      <c r="U127" s="454">
        <f t="shared" si="9"/>
        <v>9627384662</v>
      </c>
      <c r="V127" s="458" t="s">
        <v>1296</v>
      </c>
      <c r="W127" s="23" t="s">
        <v>1081</v>
      </c>
      <c r="X127" s="28" t="s">
        <v>1082</v>
      </c>
      <c r="Y127" s="612">
        <v>16858</v>
      </c>
      <c r="Z127" s="612">
        <v>17663</v>
      </c>
      <c r="AA127" s="612">
        <v>26731</v>
      </c>
      <c r="AB127" s="612">
        <v>6574</v>
      </c>
      <c r="AC127" s="612">
        <v>877</v>
      </c>
      <c r="AD127" s="612">
        <v>339</v>
      </c>
      <c r="AE127" s="612">
        <v>411</v>
      </c>
      <c r="AF127" s="612">
        <v>333</v>
      </c>
      <c r="AG127" s="612">
        <v>1</v>
      </c>
      <c r="AH127" s="612">
        <v>0</v>
      </c>
      <c r="AI127" s="612">
        <v>0</v>
      </c>
      <c r="AJ127" s="612">
        <v>0</v>
      </c>
      <c r="AK127" s="612">
        <v>0</v>
      </c>
      <c r="AL127" s="612">
        <v>1684</v>
      </c>
      <c r="AM127" s="612">
        <v>4038</v>
      </c>
      <c r="AN127" s="612">
        <f t="shared" si="10"/>
        <v>34521</v>
      </c>
      <c r="AO127" s="106">
        <v>46023</v>
      </c>
      <c r="AP127" s="106">
        <v>46387</v>
      </c>
      <c r="AQ127" s="110" t="s">
        <v>1028</v>
      </c>
    </row>
    <row r="128" spans="1:43" ht="74.25" hidden="1" customHeight="1">
      <c r="A128" s="102">
        <v>1</v>
      </c>
      <c r="B128" s="682" t="s">
        <v>513</v>
      </c>
      <c r="C128" s="102">
        <v>22</v>
      </c>
      <c r="D128" s="102" t="s">
        <v>1021</v>
      </c>
      <c r="E128" s="102">
        <v>2201</v>
      </c>
      <c r="F128" s="682" t="s">
        <v>379</v>
      </c>
      <c r="G128" s="102">
        <v>2201071</v>
      </c>
      <c r="H128" s="682" t="s">
        <v>1188</v>
      </c>
      <c r="I128" s="102">
        <v>220107100</v>
      </c>
      <c r="J128" s="682" t="s">
        <v>1189</v>
      </c>
      <c r="K128" s="115">
        <v>54</v>
      </c>
      <c r="L128" s="115"/>
      <c r="M128" s="115">
        <v>54</v>
      </c>
      <c r="N128" s="114">
        <v>2024003630025</v>
      </c>
      <c r="O128" s="686" t="s">
        <v>1190</v>
      </c>
      <c r="P128" s="683" t="s">
        <v>1297</v>
      </c>
      <c r="Q128" s="687">
        <v>477749998</v>
      </c>
      <c r="R128" s="138"/>
      <c r="S128" s="139"/>
      <c r="T128" s="139"/>
      <c r="U128" s="454">
        <f t="shared" si="9"/>
        <v>477749998</v>
      </c>
      <c r="V128" s="458" t="s">
        <v>1298</v>
      </c>
      <c r="W128" s="23" t="s">
        <v>1081</v>
      </c>
      <c r="X128" s="28" t="s">
        <v>1082</v>
      </c>
      <c r="Y128" s="612">
        <v>16858</v>
      </c>
      <c r="Z128" s="612">
        <v>17663</v>
      </c>
      <c r="AA128" s="612">
        <v>26731</v>
      </c>
      <c r="AB128" s="612">
        <v>6574</v>
      </c>
      <c r="AC128" s="612">
        <v>877</v>
      </c>
      <c r="AD128" s="612">
        <v>339</v>
      </c>
      <c r="AE128" s="612">
        <v>411</v>
      </c>
      <c r="AF128" s="612">
        <v>333</v>
      </c>
      <c r="AG128" s="612">
        <v>1</v>
      </c>
      <c r="AH128" s="612">
        <v>0</v>
      </c>
      <c r="AI128" s="612">
        <v>0</v>
      </c>
      <c r="AJ128" s="612">
        <v>0</v>
      </c>
      <c r="AK128" s="612">
        <v>0</v>
      </c>
      <c r="AL128" s="612">
        <v>1684</v>
      </c>
      <c r="AM128" s="612">
        <v>4038</v>
      </c>
      <c r="AN128" s="612">
        <f t="shared" si="10"/>
        <v>34521</v>
      </c>
      <c r="AO128" s="106">
        <v>46023</v>
      </c>
      <c r="AP128" s="106">
        <v>46387</v>
      </c>
      <c r="AQ128" s="110" t="s">
        <v>1028</v>
      </c>
    </row>
    <row r="129" spans="1:43" ht="74.25" hidden="1" customHeight="1">
      <c r="A129" s="102">
        <v>1</v>
      </c>
      <c r="B129" s="682" t="s">
        <v>513</v>
      </c>
      <c r="C129" s="102">
        <v>22</v>
      </c>
      <c r="D129" s="102" t="s">
        <v>1021</v>
      </c>
      <c r="E129" s="102">
        <v>2201</v>
      </c>
      <c r="F129" s="682" t="s">
        <v>379</v>
      </c>
      <c r="G129" s="102">
        <v>2201071</v>
      </c>
      <c r="H129" s="682" t="s">
        <v>1188</v>
      </c>
      <c r="I129" s="102">
        <v>220107100</v>
      </c>
      <c r="J129" s="682" t="s">
        <v>1189</v>
      </c>
      <c r="K129" s="115">
        <v>54</v>
      </c>
      <c r="L129" s="115"/>
      <c r="M129" s="115">
        <v>54</v>
      </c>
      <c r="N129" s="114">
        <v>2024003630025</v>
      </c>
      <c r="O129" s="686" t="s">
        <v>1190</v>
      </c>
      <c r="P129" s="683" t="s">
        <v>1299</v>
      </c>
      <c r="Q129" s="687">
        <v>40950</v>
      </c>
      <c r="R129" s="138"/>
      <c r="S129" s="139"/>
      <c r="T129" s="139"/>
      <c r="U129" s="454">
        <f t="shared" si="9"/>
        <v>40950</v>
      </c>
      <c r="V129" s="458" t="s">
        <v>1300</v>
      </c>
      <c r="W129" s="23" t="s">
        <v>1081</v>
      </c>
      <c r="X129" s="28" t="s">
        <v>1082</v>
      </c>
      <c r="Y129" s="612">
        <v>16858</v>
      </c>
      <c r="Z129" s="612">
        <v>17663</v>
      </c>
      <c r="AA129" s="612">
        <v>26731</v>
      </c>
      <c r="AB129" s="612">
        <v>6574</v>
      </c>
      <c r="AC129" s="612">
        <v>877</v>
      </c>
      <c r="AD129" s="612">
        <v>339</v>
      </c>
      <c r="AE129" s="612">
        <v>411</v>
      </c>
      <c r="AF129" s="612">
        <v>333</v>
      </c>
      <c r="AG129" s="612">
        <v>1</v>
      </c>
      <c r="AH129" s="612">
        <v>0</v>
      </c>
      <c r="AI129" s="612">
        <v>0</v>
      </c>
      <c r="AJ129" s="612">
        <v>0</v>
      </c>
      <c r="AK129" s="612">
        <v>0</v>
      </c>
      <c r="AL129" s="612">
        <v>1684</v>
      </c>
      <c r="AM129" s="612">
        <v>4038</v>
      </c>
      <c r="AN129" s="612">
        <f t="shared" si="10"/>
        <v>34521</v>
      </c>
      <c r="AO129" s="106">
        <v>46023</v>
      </c>
      <c r="AP129" s="106">
        <v>46387</v>
      </c>
      <c r="AQ129" s="110" t="s">
        <v>1028</v>
      </c>
    </row>
    <row r="130" spans="1:43" ht="74.25" hidden="1" customHeight="1">
      <c r="A130" s="102">
        <v>1</v>
      </c>
      <c r="B130" s="682" t="s">
        <v>513</v>
      </c>
      <c r="C130" s="102">
        <v>22</v>
      </c>
      <c r="D130" s="102" t="s">
        <v>1021</v>
      </c>
      <c r="E130" s="102">
        <v>2201</v>
      </c>
      <c r="F130" s="682" t="s">
        <v>379</v>
      </c>
      <c r="G130" s="102">
        <v>2201071</v>
      </c>
      <c r="H130" s="682" t="s">
        <v>1188</v>
      </c>
      <c r="I130" s="102">
        <v>220107100</v>
      </c>
      <c r="J130" s="682" t="s">
        <v>1189</v>
      </c>
      <c r="K130" s="115">
        <v>54</v>
      </c>
      <c r="L130" s="115"/>
      <c r="M130" s="115">
        <v>54</v>
      </c>
      <c r="N130" s="114">
        <v>2024003630025</v>
      </c>
      <c r="O130" s="686" t="s">
        <v>1190</v>
      </c>
      <c r="P130" s="683" t="s">
        <v>1301</v>
      </c>
      <c r="Q130" s="687">
        <v>635047000</v>
      </c>
      <c r="R130" s="138"/>
      <c r="S130" s="139"/>
      <c r="T130" s="139"/>
      <c r="U130" s="454">
        <f t="shared" si="9"/>
        <v>635047000</v>
      </c>
      <c r="V130" s="458" t="s">
        <v>1302</v>
      </c>
      <c r="W130" s="23" t="s">
        <v>1081</v>
      </c>
      <c r="X130" s="28" t="s">
        <v>1082</v>
      </c>
      <c r="Y130" s="612">
        <v>16858</v>
      </c>
      <c r="Z130" s="612">
        <v>17663</v>
      </c>
      <c r="AA130" s="612">
        <v>26731</v>
      </c>
      <c r="AB130" s="612">
        <v>6574</v>
      </c>
      <c r="AC130" s="612">
        <v>877</v>
      </c>
      <c r="AD130" s="612">
        <v>339</v>
      </c>
      <c r="AE130" s="612">
        <v>411</v>
      </c>
      <c r="AF130" s="612">
        <v>333</v>
      </c>
      <c r="AG130" s="612">
        <v>1</v>
      </c>
      <c r="AH130" s="612">
        <v>0</v>
      </c>
      <c r="AI130" s="612">
        <v>0</v>
      </c>
      <c r="AJ130" s="612">
        <v>0</v>
      </c>
      <c r="AK130" s="612">
        <v>0</v>
      </c>
      <c r="AL130" s="612">
        <v>1684</v>
      </c>
      <c r="AM130" s="612">
        <v>4038</v>
      </c>
      <c r="AN130" s="612">
        <f t="shared" si="10"/>
        <v>34521</v>
      </c>
      <c r="AO130" s="106">
        <v>46023</v>
      </c>
      <c r="AP130" s="106">
        <v>46387</v>
      </c>
      <c r="AQ130" s="110" t="s">
        <v>1028</v>
      </c>
    </row>
    <row r="131" spans="1:43" ht="74.25" hidden="1" customHeight="1">
      <c r="A131" s="102">
        <v>1</v>
      </c>
      <c r="B131" s="682" t="s">
        <v>513</v>
      </c>
      <c r="C131" s="102">
        <v>22</v>
      </c>
      <c r="D131" s="102" t="s">
        <v>1021</v>
      </c>
      <c r="E131" s="102">
        <v>2201</v>
      </c>
      <c r="F131" s="682" t="s">
        <v>379</v>
      </c>
      <c r="G131" s="102">
        <v>2201071</v>
      </c>
      <c r="H131" s="682" t="s">
        <v>1188</v>
      </c>
      <c r="I131" s="102">
        <v>220107100</v>
      </c>
      <c r="J131" s="682" t="s">
        <v>1189</v>
      </c>
      <c r="K131" s="115">
        <v>54</v>
      </c>
      <c r="L131" s="115"/>
      <c r="M131" s="115">
        <v>54</v>
      </c>
      <c r="N131" s="114">
        <v>2024003630025</v>
      </c>
      <c r="O131" s="686" t="s">
        <v>1190</v>
      </c>
      <c r="P131" s="683" t="s">
        <v>1303</v>
      </c>
      <c r="Q131" s="687">
        <v>1588930000</v>
      </c>
      <c r="R131" s="138"/>
      <c r="S131" s="139"/>
      <c r="T131" s="139"/>
      <c r="U131" s="454">
        <f t="shared" si="9"/>
        <v>1588930000</v>
      </c>
      <c r="V131" s="458" t="s">
        <v>1304</v>
      </c>
      <c r="W131" s="23" t="s">
        <v>1081</v>
      </c>
      <c r="X131" s="28" t="s">
        <v>1082</v>
      </c>
      <c r="Y131" s="612">
        <v>16858</v>
      </c>
      <c r="Z131" s="612">
        <v>17663</v>
      </c>
      <c r="AA131" s="612">
        <v>26731</v>
      </c>
      <c r="AB131" s="612">
        <v>6574</v>
      </c>
      <c r="AC131" s="612">
        <v>877</v>
      </c>
      <c r="AD131" s="612">
        <v>339</v>
      </c>
      <c r="AE131" s="612">
        <v>411</v>
      </c>
      <c r="AF131" s="612">
        <v>333</v>
      </c>
      <c r="AG131" s="612">
        <v>1</v>
      </c>
      <c r="AH131" s="612">
        <v>0</v>
      </c>
      <c r="AI131" s="612">
        <v>0</v>
      </c>
      <c r="AJ131" s="612">
        <v>0</v>
      </c>
      <c r="AK131" s="612">
        <v>0</v>
      </c>
      <c r="AL131" s="612">
        <v>1684</v>
      </c>
      <c r="AM131" s="612">
        <v>4038</v>
      </c>
      <c r="AN131" s="612">
        <f t="shared" si="10"/>
        <v>34521</v>
      </c>
      <c r="AO131" s="106">
        <v>46023</v>
      </c>
      <c r="AP131" s="106">
        <v>46387</v>
      </c>
      <c r="AQ131" s="110" t="s">
        <v>1028</v>
      </c>
    </row>
    <row r="132" spans="1:43" ht="74.25" hidden="1" customHeight="1">
      <c r="A132" s="102">
        <v>1</v>
      </c>
      <c r="B132" s="682" t="s">
        <v>513</v>
      </c>
      <c r="C132" s="102">
        <v>22</v>
      </c>
      <c r="D132" s="102" t="s">
        <v>1021</v>
      </c>
      <c r="E132" s="102">
        <v>2201</v>
      </c>
      <c r="F132" s="682" t="s">
        <v>379</v>
      </c>
      <c r="G132" s="102">
        <v>2201071</v>
      </c>
      <c r="H132" s="682" t="s">
        <v>1188</v>
      </c>
      <c r="I132" s="102">
        <v>220107100</v>
      </c>
      <c r="J132" s="682" t="s">
        <v>1189</v>
      </c>
      <c r="K132" s="115">
        <v>54</v>
      </c>
      <c r="L132" s="115"/>
      <c r="M132" s="115">
        <v>54</v>
      </c>
      <c r="N132" s="114">
        <v>2024003630025</v>
      </c>
      <c r="O132" s="686" t="s">
        <v>1190</v>
      </c>
      <c r="P132" s="683" t="s">
        <v>1305</v>
      </c>
      <c r="Q132" s="687">
        <v>660702326</v>
      </c>
      <c r="R132" s="138"/>
      <c r="S132" s="139"/>
      <c r="T132" s="139"/>
      <c r="U132" s="454">
        <f t="shared" si="9"/>
        <v>660702326</v>
      </c>
      <c r="V132" s="458" t="s">
        <v>1306</v>
      </c>
      <c r="W132" s="23" t="s">
        <v>1081</v>
      </c>
      <c r="X132" s="28" t="s">
        <v>1082</v>
      </c>
      <c r="Y132" s="612">
        <v>16858</v>
      </c>
      <c r="Z132" s="612">
        <v>17663</v>
      </c>
      <c r="AA132" s="612">
        <v>26731</v>
      </c>
      <c r="AB132" s="612">
        <v>6574</v>
      </c>
      <c r="AC132" s="612">
        <v>877</v>
      </c>
      <c r="AD132" s="612">
        <v>339</v>
      </c>
      <c r="AE132" s="612">
        <v>411</v>
      </c>
      <c r="AF132" s="612">
        <v>333</v>
      </c>
      <c r="AG132" s="612">
        <v>1</v>
      </c>
      <c r="AH132" s="612">
        <v>0</v>
      </c>
      <c r="AI132" s="612">
        <v>0</v>
      </c>
      <c r="AJ132" s="612">
        <v>0</v>
      </c>
      <c r="AK132" s="612">
        <v>0</v>
      </c>
      <c r="AL132" s="612">
        <v>1684</v>
      </c>
      <c r="AM132" s="612">
        <v>4038</v>
      </c>
      <c r="AN132" s="612">
        <f t="shared" si="10"/>
        <v>34521</v>
      </c>
      <c r="AO132" s="106">
        <v>46023</v>
      </c>
      <c r="AP132" s="106">
        <v>46387</v>
      </c>
      <c r="AQ132" s="110" t="s">
        <v>1028</v>
      </c>
    </row>
    <row r="133" spans="1:43" ht="74.25" hidden="1" customHeight="1">
      <c r="A133" s="102">
        <v>1</v>
      </c>
      <c r="B133" s="682" t="s">
        <v>513</v>
      </c>
      <c r="C133" s="102">
        <v>22</v>
      </c>
      <c r="D133" s="102" t="s">
        <v>1021</v>
      </c>
      <c r="E133" s="102">
        <v>2201</v>
      </c>
      <c r="F133" s="682" t="s">
        <v>379</v>
      </c>
      <c r="G133" s="102">
        <v>2201071</v>
      </c>
      <c r="H133" s="682" t="s">
        <v>1188</v>
      </c>
      <c r="I133" s="102">
        <v>220107100</v>
      </c>
      <c r="J133" s="682" t="s">
        <v>1189</v>
      </c>
      <c r="K133" s="115">
        <v>54</v>
      </c>
      <c r="L133" s="115"/>
      <c r="M133" s="115">
        <v>54</v>
      </c>
      <c r="N133" s="114">
        <v>2024003630025</v>
      </c>
      <c r="O133" s="686" t="s">
        <v>1190</v>
      </c>
      <c r="P133" s="683" t="s">
        <v>1307</v>
      </c>
      <c r="Q133" s="687">
        <v>7000000</v>
      </c>
      <c r="R133" s="138"/>
      <c r="S133" s="139"/>
      <c r="T133" s="139"/>
      <c r="U133" s="454">
        <f t="shared" si="9"/>
        <v>7000000</v>
      </c>
      <c r="V133" s="458" t="s">
        <v>1308</v>
      </c>
      <c r="W133" s="23" t="s">
        <v>1081</v>
      </c>
      <c r="X133" s="28" t="s">
        <v>1082</v>
      </c>
      <c r="Y133" s="612">
        <v>16858</v>
      </c>
      <c r="Z133" s="612">
        <v>17663</v>
      </c>
      <c r="AA133" s="612">
        <v>26731</v>
      </c>
      <c r="AB133" s="612">
        <v>6574</v>
      </c>
      <c r="AC133" s="612">
        <v>877</v>
      </c>
      <c r="AD133" s="612">
        <v>339</v>
      </c>
      <c r="AE133" s="612">
        <v>411</v>
      </c>
      <c r="AF133" s="612">
        <v>333</v>
      </c>
      <c r="AG133" s="612">
        <v>1</v>
      </c>
      <c r="AH133" s="612">
        <v>0</v>
      </c>
      <c r="AI133" s="612">
        <v>0</v>
      </c>
      <c r="AJ133" s="612">
        <v>0</v>
      </c>
      <c r="AK133" s="612">
        <v>0</v>
      </c>
      <c r="AL133" s="612">
        <v>1684</v>
      </c>
      <c r="AM133" s="612">
        <v>4038</v>
      </c>
      <c r="AN133" s="612">
        <f t="shared" si="10"/>
        <v>34521</v>
      </c>
      <c r="AO133" s="106">
        <v>46023</v>
      </c>
      <c r="AP133" s="106">
        <v>46387</v>
      </c>
      <c r="AQ133" s="110" t="s">
        <v>1028</v>
      </c>
    </row>
    <row r="134" spans="1:43" ht="74.25" hidden="1" customHeight="1">
      <c r="A134" s="102">
        <v>1</v>
      </c>
      <c r="B134" s="682" t="s">
        <v>513</v>
      </c>
      <c r="C134" s="102">
        <v>22</v>
      </c>
      <c r="D134" s="102" t="s">
        <v>1021</v>
      </c>
      <c r="E134" s="102">
        <v>2201</v>
      </c>
      <c r="F134" s="682" t="s">
        <v>379</v>
      </c>
      <c r="G134" s="102">
        <v>2201071</v>
      </c>
      <c r="H134" s="682" t="s">
        <v>1188</v>
      </c>
      <c r="I134" s="102">
        <v>220107100</v>
      </c>
      <c r="J134" s="682" t="s">
        <v>1189</v>
      </c>
      <c r="K134" s="115">
        <v>54</v>
      </c>
      <c r="L134" s="115"/>
      <c r="M134" s="115">
        <v>54</v>
      </c>
      <c r="N134" s="114">
        <v>2024003630025</v>
      </c>
      <c r="O134" s="686" t="s">
        <v>1190</v>
      </c>
      <c r="P134" s="683" t="s">
        <v>1309</v>
      </c>
      <c r="Q134" s="687">
        <v>456606786</v>
      </c>
      <c r="R134" s="138"/>
      <c r="S134" s="139"/>
      <c r="T134" s="139"/>
      <c r="U134" s="454">
        <f t="shared" si="9"/>
        <v>456606786</v>
      </c>
      <c r="V134" s="458" t="s">
        <v>1310</v>
      </c>
      <c r="W134" s="23" t="s">
        <v>1081</v>
      </c>
      <c r="X134" s="28" t="s">
        <v>1082</v>
      </c>
      <c r="Y134" s="612">
        <v>16858</v>
      </c>
      <c r="Z134" s="612">
        <v>17663</v>
      </c>
      <c r="AA134" s="612">
        <v>26731</v>
      </c>
      <c r="AB134" s="612">
        <v>6574</v>
      </c>
      <c r="AC134" s="612">
        <v>877</v>
      </c>
      <c r="AD134" s="612">
        <v>339</v>
      </c>
      <c r="AE134" s="612">
        <v>411</v>
      </c>
      <c r="AF134" s="612">
        <v>333</v>
      </c>
      <c r="AG134" s="612">
        <v>1</v>
      </c>
      <c r="AH134" s="612">
        <v>0</v>
      </c>
      <c r="AI134" s="612">
        <v>0</v>
      </c>
      <c r="AJ134" s="612">
        <v>0</v>
      </c>
      <c r="AK134" s="612">
        <v>0</v>
      </c>
      <c r="AL134" s="612">
        <v>1684</v>
      </c>
      <c r="AM134" s="612">
        <v>4038</v>
      </c>
      <c r="AN134" s="612">
        <f t="shared" si="10"/>
        <v>34521</v>
      </c>
      <c r="AO134" s="106">
        <v>46023</v>
      </c>
      <c r="AP134" s="106">
        <v>46387</v>
      </c>
      <c r="AQ134" s="110" t="s">
        <v>1028</v>
      </c>
    </row>
    <row r="135" spans="1:43" ht="74.25" hidden="1" customHeight="1">
      <c r="A135" s="102">
        <v>1</v>
      </c>
      <c r="B135" s="682" t="s">
        <v>513</v>
      </c>
      <c r="C135" s="102">
        <v>22</v>
      </c>
      <c r="D135" s="102" t="s">
        <v>1021</v>
      </c>
      <c r="E135" s="102">
        <v>2201</v>
      </c>
      <c r="F135" s="682" t="s">
        <v>379</v>
      </c>
      <c r="G135" s="102">
        <v>2201071</v>
      </c>
      <c r="H135" s="682" t="s">
        <v>1188</v>
      </c>
      <c r="I135" s="102">
        <v>220107100</v>
      </c>
      <c r="J135" s="682" t="s">
        <v>1189</v>
      </c>
      <c r="K135" s="115">
        <v>54</v>
      </c>
      <c r="L135" s="115"/>
      <c r="M135" s="115">
        <v>54</v>
      </c>
      <c r="N135" s="114">
        <v>2024003630025</v>
      </c>
      <c r="O135" s="686" t="s">
        <v>1190</v>
      </c>
      <c r="P135" s="683" t="s">
        <v>1311</v>
      </c>
      <c r="Q135" s="687">
        <v>3295767800</v>
      </c>
      <c r="R135" s="138"/>
      <c r="S135" s="139"/>
      <c r="T135" s="139"/>
      <c r="U135" s="454">
        <f t="shared" si="9"/>
        <v>3295767800</v>
      </c>
      <c r="V135" s="458" t="s">
        <v>1312</v>
      </c>
      <c r="W135" s="23" t="s">
        <v>1081</v>
      </c>
      <c r="X135" s="28" t="s">
        <v>1082</v>
      </c>
      <c r="Y135" s="612">
        <v>16858</v>
      </c>
      <c r="Z135" s="612">
        <v>17663</v>
      </c>
      <c r="AA135" s="612">
        <v>26731</v>
      </c>
      <c r="AB135" s="612">
        <v>6574</v>
      </c>
      <c r="AC135" s="612">
        <v>877</v>
      </c>
      <c r="AD135" s="612">
        <v>339</v>
      </c>
      <c r="AE135" s="612">
        <v>411</v>
      </c>
      <c r="AF135" s="612">
        <v>333</v>
      </c>
      <c r="AG135" s="612">
        <v>1</v>
      </c>
      <c r="AH135" s="612">
        <v>0</v>
      </c>
      <c r="AI135" s="612">
        <v>0</v>
      </c>
      <c r="AJ135" s="612">
        <v>0</v>
      </c>
      <c r="AK135" s="612">
        <v>0</v>
      </c>
      <c r="AL135" s="612">
        <v>1684</v>
      </c>
      <c r="AM135" s="612">
        <v>4038</v>
      </c>
      <c r="AN135" s="612">
        <f t="shared" si="10"/>
        <v>34521</v>
      </c>
      <c r="AO135" s="106">
        <v>46023</v>
      </c>
      <c r="AP135" s="106">
        <v>46387</v>
      </c>
      <c r="AQ135" s="110" t="s">
        <v>1028</v>
      </c>
    </row>
    <row r="136" spans="1:43" ht="74.25" hidden="1" customHeight="1">
      <c r="A136" s="102">
        <v>1</v>
      </c>
      <c r="B136" s="682" t="s">
        <v>513</v>
      </c>
      <c r="C136" s="102">
        <v>22</v>
      </c>
      <c r="D136" s="102" t="s">
        <v>1021</v>
      </c>
      <c r="E136" s="102">
        <v>2201</v>
      </c>
      <c r="F136" s="682" t="s">
        <v>379</v>
      </c>
      <c r="G136" s="102">
        <v>2201071</v>
      </c>
      <c r="H136" s="682" t="s">
        <v>1188</v>
      </c>
      <c r="I136" s="102">
        <v>220107100</v>
      </c>
      <c r="J136" s="682" t="s">
        <v>1189</v>
      </c>
      <c r="K136" s="115">
        <v>54</v>
      </c>
      <c r="L136" s="115"/>
      <c r="M136" s="115">
        <v>54</v>
      </c>
      <c r="N136" s="114">
        <v>2024003630025</v>
      </c>
      <c r="O136" s="686" t="s">
        <v>1190</v>
      </c>
      <c r="P136" s="683" t="s">
        <v>1313</v>
      </c>
      <c r="Q136" s="687">
        <v>581680873</v>
      </c>
      <c r="R136" s="138"/>
      <c r="S136" s="139"/>
      <c r="T136" s="139"/>
      <c r="U136" s="454">
        <f t="shared" si="9"/>
        <v>581680873</v>
      </c>
      <c r="V136" s="458" t="s">
        <v>1314</v>
      </c>
      <c r="W136" s="23" t="s">
        <v>1081</v>
      </c>
      <c r="X136" s="28" t="s">
        <v>1082</v>
      </c>
      <c r="Y136" s="612">
        <v>16858</v>
      </c>
      <c r="Z136" s="612">
        <v>17663</v>
      </c>
      <c r="AA136" s="612">
        <v>26731</v>
      </c>
      <c r="AB136" s="612">
        <v>6574</v>
      </c>
      <c r="AC136" s="612">
        <v>877</v>
      </c>
      <c r="AD136" s="612">
        <v>339</v>
      </c>
      <c r="AE136" s="612">
        <v>411</v>
      </c>
      <c r="AF136" s="612">
        <v>333</v>
      </c>
      <c r="AG136" s="612">
        <v>1</v>
      </c>
      <c r="AH136" s="612">
        <v>0</v>
      </c>
      <c r="AI136" s="612">
        <v>0</v>
      </c>
      <c r="AJ136" s="612">
        <v>0</v>
      </c>
      <c r="AK136" s="612">
        <v>0</v>
      </c>
      <c r="AL136" s="612">
        <v>1684</v>
      </c>
      <c r="AM136" s="612">
        <v>4038</v>
      </c>
      <c r="AN136" s="612">
        <f t="shared" si="10"/>
        <v>34521</v>
      </c>
      <c r="AO136" s="106">
        <v>46023</v>
      </c>
      <c r="AP136" s="106">
        <v>46387</v>
      </c>
      <c r="AQ136" s="110" t="s">
        <v>1028</v>
      </c>
    </row>
    <row r="137" spans="1:43" ht="74.25" hidden="1" customHeight="1">
      <c r="A137" s="102">
        <v>1</v>
      </c>
      <c r="B137" s="682" t="s">
        <v>513</v>
      </c>
      <c r="C137" s="102">
        <v>22</v>
      </c>
      <c r="D137" s="102" t="s">
        <v>1021</v>
      </c>
      <c r="E137" s="102">
        <v>2201</v>
      </c>
      <c r="F137" s="682" t="s">
        <v>379</v>
      </c>
      <c r="G137" s="102">
        <v>2201071</v>
      </c>
      <c r="H137" s="682" t="s">
        <v>1188</v>
      </c>
      <c r="I137" s="102">
        <v>220107100</v>
      </c>
      <c r="J137" s="682" t="s">
        <v>1189</v>
      </c>
      <c r="K137" s="115">
        <v>54</v>
      </c>
      <c r="L137" s="115"/>
      <c r="M137" s="115">
        <v>54</v>
      </c>
      <c r="N137" s="114">
        <v>2024003630025</v>
      </c>
      <c r="O137" s="686" t="s">
        <v>1190</v>
      </c>
      <c r="P137" s="683" t="s">
        <v>1315</v>
      </c>
      <c r="Q137" s="687">
        <v>436413705</v>
      </c>
      <c r="R137" s="138"/>
      <c r="S137" s="139"/>
      <c r="T137" s="139"/>
      <c r="U137" s="454">
        <f t="shared" si="9"/>
        <v>436413705</v>
      </c>
      <c r="V137" s="458" t="s">
        <v>1316</v>
      </c>
      <c r="W137" s="23" t="s">
        <v>1081</v>
      </c>
      <c r="X137" s="28" t="s">
        <v>1082</v>
      </c>
      <c r="Y137" s="612">
        <v>16858</v>
      </c>
      <c r="Z137" s="612">
        <v>17663</v>
      </c>
      <c r="AA137" s="612">
        <v>26731</v>
      </c>
      <c r="AB137" s="612">
        <v>6574</v>
      </c>
      <c r="AC137" s="612">
        <v>877</v>
      </c>
      <c r="AD137" s="612">
        <v>339</v>
      </c>
      <c r="AE137" s="612">
        <v>411</v>
      </c>
      <c r="AF137" s="612">
        <v>333</v>
      </c>
      <c r="AG137" s="612">
        <v>1</v>
      </c>
      <c r="AH137" s="612">
        <v>0</v>
      </c>
      <c r="AI137" s="612">
        <v>0</v>
      </c>
      <c r="AJ137" s="612">
        <v>0</v>
      </c>
      <c r="AK137" s="612">
        <v>0</v>
      </c>
      <c r="AL137" s="612">
        <v>1684</v>
      </c>
      <c r="AM137" s="612">
        <v>4038</v>
      </c>
      <c r="AN137" s="612">
        <f t="shared" si="10"/>
        <v>34521</v>
      </c>
      <c r="AO137" s="106">
        <v>46023</v>
      </c>
      <c r="AP137" s="106">
        <v>46387</v>
      </c>
      <c r="AQ137" s="110" t="s">
        <v>1028</v>
      </c>
    </row>
    <row r="138" spans="1:43" ht="74.25" hidden="1" customHeight="1">
      <c r="A138" s="102">
        <v>1</v>
      </c>
      <c r="B138" s="682" t="s">
        <v>513</v>
      </c>
      <c r="C138" s="102">
        <v>22</v>
      </c>
      <c r="D138" s="102" t="s">
        <v>1021</v>
      </c>
      <c r="E138" s="102">
        <v>2201</v>
      </c>
      <c r="F138" s="682" t="s">
        <v>379</v>
      </c>
      <c r="G138" s="102">
        <v>2201071</v>
      </c>
      <c r="H138" s="682" t="s">
        <v>1188</v>
      </c>
      <c r="I138" s="102">
        <v>220107100</v>
      </c>
      <c r="J138" s="682" t="s">
        <v>1189</v>
      </c>
      <c r="K138" s="115">
        <v>54</v>
      </c>
      <c r="L138" s="115"/>
      <c r="M138" s="115">
        <v>54</v>
      </c>
      <c r="N138" s="114">
        <v>2024003630025</v>
      </c>
      <c r="O138" s="686" t="s">
        <v>1190</v>
      </c>
      <c r="P138" s="683" t="s">
        <v>1317</v>
      </c>
      <c r="Q138" s="687">
        <v>72819565</v>
      </c>
      <c r="R138" s="138"/>
      <c r="S138" s="139"/>
      <c r="T138" s="139"/>
      <c r="U138" s="454">
        <f t="shared" si="9"/>
        <v>72819565</v>
      </c>
      <c r="V138" s="458" t="s">
        <v>1318</v>
      </c>
      <c r="W138" s="23" t="s">
        <v>1081</v>
      </c>
      <c r="X138" s="28" t="s">
        <v>1082</v>
      </c>
      <c r="Y138" s="612">
        <v>16858</v>
      </c>
      <c r="Z138" s="612">
        <v>17663</v>
      </c>
      <c r="AA138" s="612">
        <v>26731</v>
      </c>
      <c r="AB138" s="612">
        <v>6574</v>
      </c>
      <c r="AC138" s="612">
        <v>877</v>
      </c>
      <c r="AD138" s="612">
        <v>339</v>
      </c>
      <c r="AE138" s="612">
        <v>411</v>
      </c>
      <c r="AF138" s="612">
        <v>333</v>
      </c>
      <c r="AG138" s="612">
        <v>1</v>
      </c>
      <c r="AH138" s="612">
        <v>0</v>
      </c>
      <c r="AI138" s="612">
        <v>0</v>
      </c>
      <c r="AJ138" s="612">
        <v>0</v>
      </c>
      <c r="AK138" s="612">
        <v>0</v>
      </c>
      <c r="AL138" s="612">
        <v>1684</v>
      </c>
      <c r="AM138" s="612">
        <v>4038</v>
      </c>
      <c r="AN138" s="612">
        <f t="shared" si="10"/>
        <v>34521</v>
      </c>
      <c r="AO138" s="106">
        <v>46023</v>
      </c>
      <c r="AP138" s="106">
        <v>46387</v>
      </c>
      <c r="AQ138" s="110" t="s">
        <v>1028</v>
      </c>
    </row>
    <row r="139" spans="1:43" ht="74.25" hidden="1" customHeight="1">
      <c r="A139" s="102">
        <v>1</v>
      </c>
      <c r="B139" s="682" t="s">
        <v>513</v>
      </c>
      <c r="C139" s="102">
        <v>22</v>
      </c>
      <c r="D139" s="102" t="s">
        <v>1021</v>
      </c>
      <c r="E139" s="102">
        <v>2201</v>
      </c>
      <c r="F139" s="682" t="s">
        <v>379</v>
      </c>
      <c r="G139" s="102">
        <v>2201071</v>
      </c>
      <c r="H139" s="682" t="s">
        <v>1188</v>
      </c>
      <c r="I139" s="102">
        <v>220107100</v>
      </c>
      <c r="J139" s="682" t="s">
        <v>1189</v>
      </c>
      <c r="K139" s="115">
        <v>54</v>
      </c>
      <c r="L139" s="115"/>
      <c r="M139" s="115">
        <v>54</v>
      </c>
      <c r="N139" s="114">
        <v>2024003630025</v>
      </c>
      <c r="O139" s="686" t="s">
        <v>1190</v>
      </c>
      <c r="P139" s="683" t="s">
        <v>1319</v>
      </c>
      <c r="Q139" s="687">
        <v>72819565</v>
      </c>
      <c r="R139" s="138"/>
      <c r="S139" s="139"/>
      <c r="T139" s="139"/>
      <c r="U139" s="454">
        <f t="shared" si="9"/>
        <v>72819565</v>
      </c>
      <c r="V139" s="458" t="s">
        <v>1320</v>
      </c>
      <c r="W139" s="23" t="s">
        <v>1081</v>
      </c>
      <c r="X139" s="28" t="s">
        <v>1082</v>
      </c>
      <c r="Y139" s="612">
        <v>16858</v>
      </c>
      <c r="Z139" s="612">
        <v>17663</v>
      </c>
      <c r="AA139" s="612">
        <v>26731</v>
      </c>
      <c r="AB139" s="612">
        <v>6574</v>
      </c>
      <c r="AC139" s="612">
        <v>877</v>
      </c>
      <c r="AD139" s="612">
        <v>339</v>
      </c>
      <c r="AE139" s="612">
        <v>411</v>
      </c>
      <c r="AF139" s="612">
        <v>333</v>
      </c>
      <c r="AG139" s="612">
        <v>1</v>
      </c>
      <c r="AH139" s="612">
        <v>0</v>
      </c>
      <c r="AI139" s="612">
        <v>0</v>
      </c>
      <c r="AJ139" s="612">
        <v>0</v>
      </c>
      <c r="AK139" s="612">
        <v>0</v>
      </c>
      <c r="AL139" s="612">
        <v>1684</v>
      </c>
      <c r="AM139" s="612">
        <v>4038</v>
      </c>
      <c r="AN139" s="612">
        <f t="shared" si="10"/>
        <v>34521</v>
      </c>
      <c r="AO139" s="106">
        <v>46023</v>
      </c>
      <c r="AP139" s="106">
        <v>46387</v>
      </c>
      <c r="AQ139" s="110" t="s">
        <v>1028</v>
      </c>
    </row>
    <row r="140" spans="1:43" ht="74.25" hidden="1" customHeight="1">
      <c r="A140" s="102">
        <v>1</v>
      </c>
      <c r="B140" s="682" t="s">
        <v>513</v>
      </c>
      <c r="C140" s="102">
        <v>22</v>
      </c>
      <c r="D140" s="102" t="s">
        <v>1021</v>
      </c>
      <c r="E140" s="102">
        <v>2201</v>
      </c>
      <c r="F140" s="682" t="s">
        <v>379</v>
      </c>
      <c r="G140" s="102">
        <v>2201071</v>
      </c>
      <c r="H140" s="682" t="s">
        <v>1188</v>
      </c>
      <c r="I140" s="102">
        <v>220107100</v>
      </c>
      <c r="J140" s="682" t="s">
        <v>1189</v>
      </c>
      <c r="K140" s="115">
        <v>54</v>
      </c>
      <c r="L140" s="115"/>
      <c r="M140" s="115">
        <v>54</v>
      </c>
      <c r="N140" s="114">
        <v>2024003630025</v>
      </c>
      <c r="O140" s="686" t="s">
        <v>1190</v>
      </c>
      <c r="P140" s="683" t="s">
        <v>1321</v>
      </c>
      <c r="Q140" s="687">
        <v>145544718</v>
      </c>
      <c r="R140" s="138"/>
      <c r="S140" s="139"/>
      <c r="T140" s="139"/>
      <c r="U140" s="454">
        <f t="shared" si="9"/>
        <v>145544718</v>
      </c>
      <c r="V140" s="458" t="s">
        <v>1322</v>
      </c>
      <c r="W140" s="23" t="s">
        <v>1081</v>
      </c>
      <c r="X140" s="28" t="s">
        <v>1082</v>
      </c>
      <c r="Y140" s="612">
        <v>16858</v>
      </c>
      <c r="Z140" s="612">
        <v>17663</v>
      </c>
      <c r="AA140" s="612">
        <v>26731</v>
      </c>
      <c r="AB140" s="612">
        <v>6574</v>
      </c>
      <c r="AC140" s="612">
        <v>877</v>
      </c>
      <c r="AD140" s="612">
        <v>339</v>
      </c>
      <c r="AE140" s="612">
        <v>411</v>
      </c>
      <c r="AF140" s="612">
        <v>333</v>
      </c>
      <c r="AG140" s="612">
        <v>1</v>
      </c>
      <c r="AH140" s="612">
        <v>0</v>
      </c>
      <c r="AI140" s="612">
        <v>0</v>
      </c>
      <c r="AJ140" s="612">
        <v>0</v>
      </c>
      <c r="AK140" s="612">
        <v>0</v>
      </c>
      <c r="AL140" s="612">
        <v>1684</v>
      </c>
      <c r="AM140" s="612">
        <v>4038</v>
      </c>
      <c r="AN140" s="612">
        <f t="shared" si="10"/>
        <v>34521</v>
      </c>
      <c r="AO140" s="106">
        <v>46023</v>
      </c>
      <c r="AP140" s="106">
        <v>46387</v>
      </c>
      <c r="AQ140" s="110" t="s">
        <v>1028</v>
      </c>
    </row>
    <row r="141" spans="1:43" ht="74.25" hidden="1" customHeight="1">
      <c r="A141" s="102">
        <v>1</v>
      </c>
      <c r="B141" s="682" t="s">
        <v>513</v>
      </c>
      <c r="C141" s="102">
        <v>22</v>
      </c>
      <c r="D141" s="102" t="s">
        <v>1021</v>
      </c>
      <c r="E141" s="102">
        <v>2201</v>
      </c>
      <c r="F141" s="682" t="s">
        <v>379</v>
      </c>
      <c r="G141" s="102">
        <v>2201071</v>
      </c>
      <c r="H141" s="682" t="s">
        <v>1188</v>
      </c>
      <c r="I141" s="102">
        <v>220107100</v>
      </c>
      <c r="J141" s="682" t="s">
        <v>1189</v>
      </c>
      <c r="K141" s="115">
        <v>54</v>
      </c>
      <c r="L141" s="115"/>
      <c r="M141" s="115">
        <v>54</v>
      </c>
      <c r="N141" s="114">
        <v>2024003630025</v>
      </c>
      <c r="O141" s="686" t="s">
        <v>1190</v>
      </c>
      <c r="P141" s="683" t="s">
        <v>1323</v>
      </c>
      <c r="Q141" s="687">
        <v>54607696</v>
      </c>
      <c r="R141" s="138"/>
      <c r="S141" s="139"/>
      <c r="T141" s="139"/>
      <c r="U141" s="454">
        <f t="shared" si="9"/>
        <v>54607696</v>
      </c>
      <c r="V141" s="458" t="s">
        <v>1324</v>
      </c>
      <c r="W141" s="23" t="s">
        <v>1081</v>
      </c>
      <c r="X141" s="28" t="s">
        <v>1082</v>
      </c>
      <c r="Y141" s="612">
        <v>16858</v>
      </c>
      <c r="Z141" s="612">
        <v>17663</v>
      </c>
      <c r="AA141" s="612">
        <v>26731</v>
      </c>
      <c r="AB141" s="612">
        <v>6574</v>
      </c>
      <c r="AC141" s="612">
        <v>877</v>
      </c>
      <c r="AD141" s="612">
        <v>339</v>
      </c>
      <c r="AE141" s="612">
        <v>411</v>
      </c>
      <c r="AF141" s="612">
        <v>333</v>
      </c>
      <c r="AG141" s="612">
        <v>1</v>
      </c>
      <c r="AH141" s="612">
        <v>0</v>
      </c>
      <c r="AI141" s="612">
        <v>0</v>
      </c>
      <c r="AJ141" s="612">
        <v>0</v>
      </c>
      <c r="AK141" s="612">
        <v>0</v>
      </c>
      <c r="AL141" s="612">
        <v>1684</v>
      </c>
      <c r="AM141" s="612">
        <v>4038</v>
      </c>
      <c r="AN141" s="612">
        <f t="shared" si="10"/>
        <v>34521</v>
      </c>
      <c r="AO141" s="106">
        <v>46023</v>
      </c>
      <c r="AP141" s="106">
        <v>46387</v>
      </c>
      <c r="AQ141" s="110" t="s">
        <v>1028</v>
      </c>
    </row>
    <row r="142" spans="1:43" ht="74.25" hidden="1" customHeight="1">
      <c r="A142" s="102">
        <v>1</v>
      </c>
      <c r="B142" s="682" t="s">
        <v>513</v>
      </c>
      <c r="C142" s="102">
        <v>22</v>
      </c>
      <c r="D142" s="102" t="s">
        <v>1021</v>
      </c>
      <c r="E142" s="102">
        <v>2201</v>
      </c>
      <c r="F142" s="682" t="s">
        <v>379</v>
      </c>
      <c r="G142" s="102">
        <v>2201071</v>
      </c>
      <c r="H142" s="682" t="s">
        <v>1188</v>
      </c>
      <c r="I142" s="102">
        <v>220107100</v>
      </c>
      <c r="J142" s="682" t="s">
        <v>1189</v>
      </c>
      <c r="K142" s="115">
        <v>54</v>
      </c>
      <c r="L142" s="115"/>
      <c r="M142" s="115">
        <v>54</v>
      </c>
      <c r="N142" s="114">
        <v>2024003630025</v>
      </c>
      <c r="O142" s="686" t="s">
        <v>1190</v>
      </c>
      <c r="P142" s="683" t="s">
        <v>1325</v>
      </c>
      <c r="Q142" s="687">
        <v>197244158</v>
      </c>
      <c r="R142" s="138"/>
      <c r="S142" s="139"/>
      <c r="T142" s="139"/>
      <c r="U142" s="454">
        <f t="shared" si="9"/>
        <v>197244158</v>
      </c>
      <c r="V142" s="458" t="s">
        <v>1326</v>
      </c>
      <c r="W142" s="23" t="s">
        <v>1081</v>
      </c>
      <c r="X142" s="28" t="s">
        <v>1082</v>
      </c>
      <c r="Y142" s="612">
        <v>16858</v>
      </c>
      <c r="Z142" s="612">
        <v>17663</v>
      </c>
      <c r="AA142" s="612">
        <v>26731</v>
      </c>
      <c r="AB142" s="612">
        <v>6574</v>
      </c>
      <c r="AC142" s="612">
        <v>877</v>
      </c>
      <c r="AD142" s="612">
        <v>339</v>
      </c>
      <c r="AE142" s="612">
        <v>411</v>
      </c>
      <c r="AF142" s="612">
        <v>333</v>
      </c>
      <c r="AG142" s="612">
        <v>1</v>
      </c>
      <c r="AH142" s="612">
        <v>0</v>
      </c>
      <c r="AI142" s="612">
        <v>0</v>
      </c>
      <c r="AJ142" s="612">
        <v>0</v>
      </c>
      <c r="AK142" s="612">
        <v>0</v>
      </c>
      <c r="AL142" s="612">
        <v>1684</v>
      </c>
      <c r="AM142" s="612">
        <v>4038</v>
      </c>
      <c r="AN142" s="612">
        <f t="shared" si="10"/>
        <v>34521</v>
      </c>
      <c r="AO142" s="106">
        <v>46023</v>
      </c>
      <c r="AP142" s="106">
        <v>46387</v>
      </c>
      <c r="AQ142" s="110" t="s">
        <v>1028</v>
      </c>
    </row>
    <row r="143" spans="1:43" ht="74.25" hidden="1" customHeight="1">
      <c r="A143" s="102">
        <v>1</v>
      </c>
      <c r="B143" s="682" t="s">
        <v>513</v>
      </c>
      <c r="C143" s="102">
        <v>22</v>
      </c>
      <c r="D143" s="102" t="s">
        <v>1021</v>
      </c>
      <c r="E143" s="102">
        <v>2201</v>
      </c>
      <c r="F143" s="682" t="s">
        <v>379</v>
      </c>
      <c r="G143" s="102">
        <v>2201071</v>
      </c>
      <c r="H143" s="682" t="s">
        <v>1188</v>
      </c>
      <c r="I143" s="102">
        <v>220107100</v>
      </c>
      <c r="J143" s="682" t="s">
        <v>1189</v>
      </c>
      <c r="K143" s="115">
        <v>54</v>
      </c>
      <c r="L143" s="115"/>
      <c r="M143" s="115">
        <v>54</v>
      </c>
      <c r="N143" s="114">
        <v>2024003630025</v>
      </c>
      <c r="O143" s="686" t="s">
        <v>1190</v>
      </c>
      <c r="P143" s="683" t="s">
        <v>1327</v>
      </c>
      <c r="Q143" s="687">
        <v>61250000</v>
      </c>
      <c r="R143" s="138"/>
      <c r="S143" s="139"/>
      <c r="T143" s="139"/>
      <c r="U143" s="454">
        <f t="shared" si="9"/>
        <v>61250000</v>
      </c>
      <c r="V143" s="458" t="s">
        <v>1328</v>
      </c>
      <c r="W143" s="23" t="s">
        <v>1081</v>
      </c>
      <c r="X143" s="28" t="s">
        <v>1082</v>
      </c>
      <c r="Y143" s="612">
        <v>16858</v>
      </c>
      <c r="Z143" s="612">
        <v>17663</v>
      </c>
      <c r="AA143" s="612">
        <v>26731</v>
      </c>
      <c r="AB143" s="612">
        <v>6574</v>
      </c>
      <c r="AC143" s="612">
        <v>877</v>
      </c>
      <c r="AD143" s="612">
        <v>339</v>
      </c>
      <c r="AE143" s="612">
        <v>411</v>
      </c>
      <c r="AF143" s="612">
        <v>333</v>
      </c>
      <c r="AG143" s="612">
        <v>1</v>
      </c>
      <c r="AH143" s="612">
        <v>0</v>
      </c>
      <c r="AI143" s="612">
        <v>0</v>
      </c>
      <c r="AJ143" s="612">
        <v>0</v>
      </c>
      <c r="AK143" s="612">
        <v>0</v>
      </c>
      <c r="AL143" s="612">
        <v>1684</v>
      </c>
      <c r="AM143" s="612">
        <v>4038</v>
      </c>
      <c r="AN143" s="612">
        <f t="shared" si="10"/>
        <v>34521</v>
      </c>
      <c r="AO143" s="106">
        <v>46023</v>
      </c>
      <c r="AP143" s="106">
        <v>46387</v>
      </c>
      <c r="AQ143" s="110" t="s">
        <v>1028</v>
      </c>
    </row>
    <row r="144" spans="1:43" ht="74.25" hidden="1" customHeight="1">
      <c r="A144" s="102">
        <v>1</v>
      </c>
      <c r="B144" s="682" t="s">
        <v>513</v>
      </c>
      <c r="C144" s="102">
        <v>22</v>
      </c>
      <c r="D144" s="102" t="s">
        <v>1021</v>
      </c>
      <c r="E144" s="102">
        <v>2201</v>
      </c>
      <c r="F144" s="682" t="s">
        <v>379</v>
      </c>
      <c r="G144" s="102">
        <v>2201071</v>
      </c>
      <c r="H144" s="682" t="s">
        <v>1188</v>
      </c>
      <c r="I144" s="102">
        <v>220107100</v>
      </c>
      <c r="J144" s="682" t="s">
        <v>1189</v>
      </c>
      <c r="K144" s="115">
        <v>54</v>
      </c>
      <c r="L144" s="115"/>
      <c r="M144" s="115">
        <v>54</v>
      </c>
      <c r="N144" s="114">
        <v>2024003630025</v>
      </c>
      <c r="O144" s="686" t="s">
        <v>1190</v>
      </c>
      <c r="P144" s="683" t="s">
        <v>1329</v>
      </c>
      <c r="Q144" s="687">
        <v>6000000</v>
      </c>
      <c r="R144" s="138"/>
      <c r="S144" s="139"/>
      <c r="T144" s="139"/>
      <c r="U144" s="454">
        <f t="shared" si="9"/>
        <v>6000000</v>
      </c>
      <c r="V144" s="458" t="s">
        <v>1330</v>
      </c>
      <c r="W144" s="23" t="s">
        <v>1081</v>
      </c>
      <c r="X144" s="28" t="s">
        <v>1082</v>
      </c>
      <c r="Y144" s="612">
        <v>16858</v>
      </c>
      <c r="Z144" s="612">
        <v>17663</v>
      </c>
      <c r="AA144" s="612">
        <v>26731</v>
      </c>
      <c r="AB144" s="612">
        <v>6574</v>
      </c>
      <c r="AC144" s="612">
        <v>877</v>
      </c>
      <c r="AD144" s="612">
        <v>339</v>
      </c>
      <c r="AE144" s="612">
        <v>411</v>
      </c>
      <c r="AF144" s="612">
        <v>333</v>
      </c>
      <c r="AG144" s="612">
        <v>1</v>
      </c>
      <c r="AH144" s="612">
        <v>0</v>
      </c>
      <c r="AI144" s="612">
        <v>0</v>
      </c>
      <c r="AJ144" s="612">
        <v>0</v>
      </c>
      <c r="AK144" s="612">
        <v>0</v>
      </c>
      <c r="AL144" s="612">
        <v>1684</v>
      </c>
      <c r="AM144" s="612">
        <v>4038</v>
      </c>
      <c r="AN144" s="612">
        <f t="shared" si="10"/>
        <v>34521</v>
      </c>
      <c r="AO144" s="106">
        <v>46023</v>
      </c>
      <c r="AP144" s="106">
        <v>46387</v>
      </c>
      <c r="AQ144" s="110" t="s">
        <v>1028</v>
      </c>
    </row>
    <row r="145" spans="1:43" ht="74.25" hidden="1" customHeight="1">
      <c r="A145" s="102">
        <v>1</v>
      </c>
      <c r="B145" s="682" t="s">
        <v>513</v>
      </c>
      <c r="C145" s="102">
        <v>22</v>
      </c>
      <c r="D145" s="102" t="s">
        <v>1021</v>
      </c>
      <c r="E145" s="102">
        <v>2201</v>
      </c>
      <c r="F145" s="682" t="s">
        <v>379</v>
      </c>
      <c r="G145" s="102">
        <v>2201071</v>
      </c>
      <c r="H145" s="682" t="s">
        <v>1188</v>
      </c>
      <c r="I145" s="102">
        <v>220107100</v>
      </c>
      <c r="J145" s="682" t="s">
        <v>1189</v>
      </c>
      <c r="K145" s="115">
        <v>54</v>
      </c>
      <c r="L145" s="115"/>
      <c r="M145" s="115">
        <v>54</v>
      </c>
      <c r="N145" s="114">
        <v>2024003630025</v>
      </c>
      <c r="O145" s="686" t="s">
        <v>1190</v>
      </c>
      <c r="P145" s="683" t="s">
        <v>1331</v>
      </c>
      <c r="Q145" s="687">
        <v>12000000</v>
      </c>
      <c r="R145" s="138"/>
      <c r="S145" s="139"/>
      <c r="T145" s="139"/>
      <c r="U145" s="454">
        <f t="shared" si="9"/>
        <v>12000000</v>
      </c>
      <c r="V145" s="458" t="s">
        <v>1332</v>
      </c>
      <c r="W145" s="23" t="s">
        <v>1081</v>
      </c>
      <c r="X145" s="28" t="s">
        <v>1082</v>
      </c>
      <c r="Y145" s="612">
        <v>16858</v>
      </c>
      <c r="Z145" s="612">
        <v>17663</v>
      </c>
      <c r="AA145" s="612">
        <v>26731</v>
      </c>
      <c r="AB145" s="612">
        <v>6574</v>
      </c>
      <c r="AC145" s="612">
        <v>877</v>
      </c>
      <c r="AD145" s="612">
        <v>339</v>
      </c>
      <c r="AE145" s="612">
        <v>411</v>
      </c>
      <c r="AF145" s="612">
        <v>333</v>
      </c>
      <c r="AG145" s="612">
        <v>1</v>
      </c>
      <c r="AH145" s="612">
        <v>0</v>
      </c>
      <c r="AI145" s="612">
        <v>0</v>
      </c>
      <c r="AJ145" s="612">
        <v>0</v>
      </c>
      <c r="AK145" s="612">
        <v>0</v>
      </c>
      <c r="AL145" s="612">
        <v>1684</v>
      </c>
      <c r="AM145" s="612">
        <v>4038</v>
      </c>
      <c r="AN145" s="612">
        <f t="shared" si="10"/>
        <v>34521</v>
      </c>
      <c r="AO145" s="106">
        <v>46023</v>
      </c>
      <c r="AP145" s="106">
        <v>46387</v>
      </c>
      <c r="AQ145" s="110" t="s">
        <v>1028</v>
      </c>
    </row>
    <row r="146" spans="1:43" ht="74.25" hidden="1" customHeight="1">
      <c r="A146" s="102">
        <v>1</v>
      </c>
      <c r="B146" s="682" t="s">
        <v>513</v>
      </c>
      <c r="C146" s="102">
        <v>22</v>
      </c>
      <c r="D146" s="102" t="s">
        <v>1021</v>
      </c>
      <c r="E146" s="102">
        <v>2201</v>
      </c>
      <c r="F146" s="682" t="s">
        <v>379</v>
      </c>
      <c r="G146" s="102">
        <v>2201071</v>
      </c>
      <c r="H146" s="682" t="s">
        <v>1188</v>
      </c>
      <c r="I146" s="102">
        <v>220107100</v>
      </c>
      <c r="J146" s="682" t="s">
        <v>1189</v>
      </c>
      <c r="K146" s="115">
        <v>54</v>
      </c>
      <c r="L146" s="115"/>
      <c r="M146" s="115">
        <v>54</v>
      </c>
      <c r="N146" s="114">
        <v>2024003630025</v>
      </c>
      <c r="O146" s="686" t="s">
        <v>1190</v>
      </c>
      <c r="P146" s="683" t="s">
        <v>1333</v>
      </c>
      <c r="Q146" s="687">
        <v>9796258309</v>
      </c>
      <c r="R146" s="138"/>
      <c r="S146" s="139"/>
      <c r="T146" s="139"/>
      <c r="U146" s="454">
        <f t="shared" si="9"/>
        <v>9796258309</v>
      </c>
      <c r="V146" s="458" t="s">
        <v>1334</v>
      </c>
      <c r="W146" s="23" t="s">
        <v>1335</v>
      </c>
      <c r="X146" s="28" t="s">
        <v>1336</v>
      </c>
      <c r="Y146" s="612">
        <v>16858</v>
      </c>
      <c r="Z146" s="612">
        <v>17663</v>
      </c>
      <c r="AA146" s="612">
        <v>26731</v>
      </c>
      <c r="AB146" s="612">
        <v>6574</v>
      </c>
      <c r="AC146" s="612">
        <v>877</v>
      </c>
      <c r="AD146" s="612">
        <v>339</v>
      </c>
      <c r="AE146" s="612">
        <v>411</v>
      </c>
      <c r="AF146" s="612">
        <v>333</v>
      </c>
      <c r="AG146" s="612">
        <v>1</v>
      </c>
      <c r="AH146" s="612">
        <v>0</v>
      </c>
      <c r="AI146" s="612">
        <v>0</v>
      </c>
      <c r="AJ146" s="612">
        <v>0</v>
      </c>
      <c r="AK146" s="612">
        <v>0</v>
      </c>
      <c r="AL146" s="612">
        <v>1684</v>
      </c>
      <c r="AM146" s="612">
        <v>4038</v>
      </c>
      <c r="AN146" s="612">
        <f t="shared" si="10"/>
        <v>34521</v>
      </c>
      <c r="AO146" s="106">
        <v>46023</v>
      </c>
      <c r="AP146" s="106">
        <v>46387</v>
      </c>
      <c r="AQ146" s="110" t="s">
        <v>1028</v>
      </c>
    </row>
    <row r="147" spans="1:43" ht="74.25" hidden="1" customHeight="1">
      <c r="A147" s="102">
        <v>1</v>
      </c>
      <c r="B147" s="682" t="s">
        <v>513</v>
      </c>
      <c r="C147" s="102">
        <v>22</v>
      </c>
      <c r="D147" s="102" t="s">
        <v>1021</v>
      </c>
      <c r="E147" s="102">
        <v>2201</v>
      </c>
      <c r="F147" s="682" t="s">
        <v>379</v>
      </c>
      <c r="G147" s="102">
        <v>2201071</v>
      </c>
      <c r="H147" s="682" t="s">
        <v>1188</v>
      </c>
      <c r="I147" s="102">
        <v>220107100</v>
      </c>
      <c r="J147" s="682" t="s">
        <v>1189</v>
      </c>
      <c r="K147" s="115">
        <v>54</v>
      </c>
      <c r="L147" s="115"/>
      <c r="M147" s="115">
        <v>54</v>
      </c>
      <c r="N147" s="114">
        <v>2024003630025</v>
      </c>
      <c r="O147" s="686" t="s">
        <v>1190</v>
      </c>
      <c r="P147" s="683" t="s">
        <v>1337</v>
      </c>
      <c r="Q147" s="687">
        <v>12376940089</v>
      </c>
      <c r="R147" s="138"/>
      <c r="S147" s="139"/>
      <c r="T147" s="139"/>
      <c r="U147" s="454">
        <f t="shared" si="9"/>
        <v>12376940089</v>
      </c>
      <c r="V147" s="458" t="s">
        <v>1338</v>
      </c>
      <c r="W147" s="23" t="s">
        <v>1335</v>
      </c>
      <c r="X147" s="28" t="s">
        <v>1336</v>
      </c>
      <c r="Y147" s="612">
        <v>16858</v>
      </c>
      <c r="Z147" s="612">
        <v>17663</v>
      </c>
      <c r="AA147" s="612">
        <v>26731</v>
      </c>
      <c r="AB147" s="612">
        <v>6574</v>
      </c>
      <c r="AC147" s="612">
        <v>877</v>
      </c>
      <c r="AD147" s="612">
        <v>339</v>
      </c>
      <c r="AE147" s="612">
        <v>411</v>
      </c>
      <c r="AF147" s="612">
        <v>333</v>
      </c>
      <c r="AG147" s="612">
        <v>1</v>
      </c>
      <c r="AH147" s="612">
        <v>0</v>
      </c>
      <c r="AI147" s="612">
        <v>0</v>
      </c>
      <c r="AJ147" s="612">
        <v>0</v>
      </c>
      <c r="AK147" s="612">
        <v>0</v>
      </c>
      <c r="AL147" s="612">
        <v>1684</v>
      </c>
      <c r="AM147" s="612">
        <v>4038</v>
      </c>
      <c r="AN147" s="612">
        <f t="shared" si="10"/>
        <v>34521</v>
      </c>
      <c r="AO147" s="106">
        <v>46023</v>
      </c>
      <c r="AP147" s="106">
        <v>46387</v>
      </c>
      <c r="AQ147" s="110" t="s">
        <v>1028</v>
      </c>
    </row>
    <row r="148" spans="1:43" ht="74.25" hidden="1" customHeight="1">
      <c r="A148" s="102">
        <v>1</v>
      </c>
      <c r="B148" s="682" t="s">
        <v>513</v>
      </c>
      <c r="C148" s="102">
        <v>22</v>
      </c>
      <c r="D148" s="102" t="s">
        <v>1021</v>
      </c>
      <c r="E148" s="102">
        <v>2201</v>
      </c>
      <c r="F148" s="682" t="s">
        <v>379</v>
      </c>
      <c r="G148" s="102">
        <v>2201071</v>
      </c>
      <c r="H148" s="682" t="s">
        <v>1188</v>
      </c>
      <c r="I148" s="102">
        <v>220107100</v>
      </c>
      <c r="J148" s="682" t="s">
        <v>1189</v>
      </c>
      <c r="K148" s="115">
        <v>54</v>
      </c>
      <c r="L148" s="115"/>
      <c r="M148" s="115">
        <v>54</v>
      </c>
      <c r="N148" s="114">
        <v>2024003630025</v>
      </c>
      <c r="O148" s="686" t="s">
        <v>1190</v>
      </c>
      <c r="P148" s="683" t="s">
        <v>1339</v>
      </c>
      <c r="Q148" s="687">
        <v>11418734940</v>
      </c>
      <c r="R148" s="138"/>
      <c r="S148" s="139"/>
      <c r="T148" s="139"/>
      <c r="U148" s="454">
        <f t="shared" ref="U148:U153" si="11">+Q148-R148+S148-T148</f>
        <v>11418734940</v>
      </c>
      <c r="V148" s="458" t="s">
        <v>1340</v>
      </c>
      <c r="W148" s="23" t="s">
        <v>1335</v>
      </c>
      <c r="X148" s="28" t="s">
        <v>1336</v>
      </c>
      <c r="Y148" s="612">
        <v>16858</v>
      </c>
      <c r="Z148" s="612">
        <v>17663</v>
      </c>
      <c r="AA148" s="612">
        <v>26731</v>
      </c>
      <c r="AB148" s="612">
        <v>6574</v>
      </c>
      <c r="AC148" s="612">
        <v>877</v>
      </c>
      <c r="AD148" s="612">
        <v>339</v>
      </c>
      <c r="AE148" s="612">
        <v>411</v>
      </c>
      <c r="AF148" s="612">
        <v>333</v>
      </c>
      <c r="AG148" s="612">
        <v>1</v>
      </c>
      <c r="AH148" s="612">
        <v>0</v>
      </c>
      <c r="AI148" s="612">
        <v>0</v>
      </c>
      <c r="AJ148" s="612">
        <v>0</v>
      </c>
      <c r="AK148" s="612">
        <v>0</v>
      </c>
      <c r="AL148" s="612">
        <v>1684</v>
      </c>
      <c r="AM148" s="612">
        <v>4038</v>
      </c>
      <c r="AN148" s="612">
        <f t="shared" si="10"/>
        <v>34521</v>
      </c>
      <c r="AO148" s="106">
        <v>46023</v>
      </c>
      <c r="AP148" s="106">
        <v>46387</v>
      </c>
      <c r="AQ148" s="110" t="s">
        <v>1028</v>
      </c>
    </row>
    <row r="149" spans="1:43" ht="74.25" hidden="1" customHeight="1">
      <c r="A149" s="102">
        <v>1</v>
      </c>
      <c r="B149" s="682" t="s">
        <v>513</v>
      </c>
      <c r="C149" s="102">
        <v>22</v>
      </c>
      <c r="D149" s="102" t="s">
        <v>1021</v>
      </c>
      <c r="E149" s="102">
        <v>2201</v>
      </c>
      <c r="F149" s="682" t="s">
        <v>379</v>
      </c>
      <c r="G149" s="102">
        <v>2201071</v>
      </c>
      <c r="H149" s="682" t="s">
        <v>1188</v>
      </c>
      <c r="I149" s="102">
        <v>220107100</v>
      </c>
      <c r="J149" s="682" t="s">
        <v>1189</v>
      </c>
      <c r="K149" s="115">
        <v>54</v>
      </c>
      <c r="L149" s="115"/>
      <c r="M149" s="115">
        <v>54</v>
      </c>
      <c r="N149" s="114">
        <v>2024003630025</v>
      </c>
      <c r="O149" s="686" t="s">
        <v>1190</v>
      </c>
      <c r="P149" s="683" t="s">
        <v>1341</v>
      </c>
      <c r="Q149" s="687">
        <v>9207303302</v>
      </c>
      <c r="R149" s="138"/>
      <c r="S149" s="139"/>
      <c r="T149" s="139"/>
      <c r="U149" s="454">
        <f t="shared" si="11"/>
        <v>9207303302</v>
      </c>
      <c r="V149" s="458" t="s">
        <v>1342</v>
      </c>
      <c r="W149" s="23" t="s">
        <v>1335</v>
      </c>
      <c r="X149" s="28" t="s">
        <v>1336</v>
      </c>
      <c r="Y149" s="612">
        <v>16858</v>
      </c>
      <c r="Z149" s="612">
        <v>17663</v>
      </c>
      <c r="AA149" s="612">
        <v>26731</v>
      </c>
      <c r="AB149" s="612">
        <v>6574</v>
      </c>
      <c r="AC149" s="612">
        <v>877</v>
      </c>
      <c r="AD149" s="612">
        <v>339</v>
      </c>
      <c r="AE149" s="612">
        <v>411</v>
      </c>
      <c r="AF149" s="612">
        <v>333</v>
      </c>
      <c r="AG149" s="612">
        <v>1</v>
      </c>
      <c r="AH149" s="612">
        <v>0</v>
      </c>
      <c r="AI149" s="612">
        <v>0</v>
      </c>
      <c r="AJ149" s="612">
        <v>0</v>
      </c>
      <c r="AK149" s="612">
        <v>0</v>
      </c>
      <c r="AL149" s="612">
        <v>1684</v>
      </c>
      <c r="AM149" s="612">
        <v>4038</v>
      </c>
      <c r="AN149" s="612">
        <f t="shared" si="10"/>
        <v>34521</v>
      </c>
      <c r="AO149" s="106">
        <v>46023</v>
      </c>
      <c r="AP149" s="106">
        <v>46387</v>
      </c>
      <c r="AQ149" s="110" t="s">
        <v>1028</v>
      </c>
    </row>
    <row r="150" spans="1:43" ht="74.25" hidden="1" customHeight="1">
      <c r="A150" s="102">
        <v>1</v>
      </c>
      <c r="B150" s="682" t="s">
        <v>513</v>
      </c>
      <c r="C150" s="102">
        <v>22</v>
      </c>
      <c r="D150" s="102" t="s">
        <v>1021</v>
      </c>
      <c r="E150" s="102">
        <v>2201</v>
      </c>
      <c r="F150" s="682" t="s">
        <v>379</v>
      </c>
      <c r="G150" s="102">
        <v>2201071</v>
      </c>
      <c r="H150" s="682" t="s">
        <v>1188</v>
      </c>
      <c r="I150" s="102">
        <v>220107100</v>
      </c>
      <c r="J150" s="682" t="s">
        <v>1189</v>
      </c>
      <c r="K150" s="115">
        <v>54</v>
      </c>
      <c r="L150" s="115"/>
      <c r="M150" s="115">
        <v>54</v>
      </c>
      <c r="N150" s="114">
        <v>2024003630025</v>
      </c>
      <c r="O150" s="686" t="s">
        <v>1190</v>
      </c>
      <c r="P150" s="683" t="s">
        <v>1343</v>
      </c>
      <c r="Q150" s="687">
        <v>1188298342</v>
      </c>
      <c r="R150" s="138"/>
      <c r="S150" s="139"/>
      <c r="T150" s="139"/>
      <c r="U150" s="454">
        <f t="shared" si="11"/>
        <v>1188298342</v>
      </c>
      <c r="V150" s="458" t="s">
        <v>1344</v>
      </c>
      <c r="W150" s="23" t="s">
        <v>1335</v>
      </c>
      <c r="X150" s="28" t="s">
        <v>1336</v>
      </c>
      <c r="Y150" s="612">
        <v>16858</v>
      </c>
      <c r="Z150" s="612">
        <v>17663</v>
      </c>
      <c r="AA150" s="612">
        <v>26731</v>
      </c>
      <c r="AB150" s="612">
        <v>6574</v>
      </c>
      <c r="AC150" s="612">
        <v>877</v>
      </c>
      <c r="AD150" s="612">
        <v>339</v>
      </c>
      <c r="AE150" s="612">
        <v>411</v>
      </c>
      <c r="AF150" s="612">
        <v>333</v>
      </c>
      <c r="AG150" s="612">
        <v>1</v>
      </c>
      <c r="AH150" s="612">
        <v>0</v>
      </c>
      <c r="AI150" s="612">
        <v>0</v>
      </c>
      <c r="AJ150" s="612">
        <v>0</v>
      </c>
      <c r="AK150" s="612">
        <v>0</v>
      </c>
      <c r="AL150" s="612">
        <v>1684</v>
      </c>
      <c r="AM150" s="612">
        <v>4038</v>
      </c>
      <c r="AN150" s="612">
        <f t="shared" si="10"/>
        <v>34521</v>
      </c>
      <c r="AO150" s="106">
        <v>46023</v>
      </c>
      <c r="AP150" s="106">
        <v>46387</v>
      </c>
      <c r="AQ150" s="110" t="s">
        <v>1028</v>
      </c>
    </row>
    <row r="151" spans="1:43" ht="74.25" hidden="1" customHeight="1">
      <c r="A151" s="102">
        <v>1</v>
      </c>
      <c r="B151" s="682" t="s">
        <v>513</v>
      </c>
      <c r="C151" s="102">
        <v>22</v>
      </c>
      <c r="D151" s="102" t="s">
        <v>1021</v>
      </c>
      <c r="E151" s="102">
        <v>2201</v>
      </c>
      <c r="F151" s="682" t="s">
        <v>379</v>
      </c>
      <c r="G151" s="102">
        <v>2201071</v>
      </c>
      <c r="H151" s="682" t="s">
        <v>1188</v>
      </c>
      <c r="I151" s="102">
        <v>220107100</v>
      </c>
      <c r="J151" s="682" t="s">
        <v>1189</v>
      </c>
      <c r="K151" s="115">
        <v>54</v>
      </c>
      <c r="L151" s="115"/>
      <c r="M151" s="115">
        <v>54</v>
      </c>
      <c r="N151" s="114">
        <v>2024003630025</v>
      </c>
      <c r="O151" s="686" t="s">
        <v>1190</v>
      </c>
      <c r="P151" s="683" t="s">
        <v>1345</v>
      </c>
      <c r="Q151" s="687">
        <v>1300000000</v>
      </c>
      <c r="R151" s="138"/>
      <c r="S151" s="139"/>
      <c r="T151" s="139"/>
      <c r="U151" s="454">
        <f t="shared" si="11"/>
        <v>1300000000</v>
      </c>
      <c r="V151" s="458" t="s">
        <v>1346</v>
      </c>
      <c r="W151" s="23" t="s">
        <v>1335</v>
      </c>
      <c r="X151" s="28" t="s">
        <v>1336</v>
      </c>
      <c r="Y151" s="612">
        <v>16858</v>
      </c>
      <c r="Z151" s="612">
        <v>17663</v>
      </c>
      <c r="AA151" s="612">
        <v>26731</v>
      </c>
      <c r="AB151" s="612">
        <v>6574</v>
      </c>
      <c r="AC151" s="612">
        <v>877</v>
      </c>
      <c r="AD151" s="612">
        <v>339</v>
      </c>
      <c r="AE151" s="612">
        <v>411</v>
      </c>
      <c r="AF151" s="612">
        <v>333</v>
      </c>
      <c r="AG151" s="612">
        <v>1</v>
      </c>
      <c r="AH151" s="612">
        <v>0</v>
      </c>
      <c r="AI151" s="612">
        <v>0</v>
      </c>
      <c r="AJ151" s="612">
        <v>0</v>
      </c>
      <c r="AK151" s="612">
        <v>0</v>
      </c>
      <c r="AL151" s="612">
        <v>1684</v>
      </c>
      <c r="AM151" s="612">
        <v>4038</v>
      </c>
      <c r="AN151" s="612">
        <f t="shared" si="10"/>
        <v>34521</v>
      </c>
      <c r="AO151" s="106">
        <v>46023</v>
      </c>
      <c r="AP151" s="106">
        <v>46387</v>
      </c>
      <c r="AQ151" s="110" t="s">
        <v>1028</v>
      </c>
    </row>
    <row r="152" spans="1:43" ht="74.25" hidden="1" customHeight="1">
      <c r="A152" s="102">
        <v>1</v>
      </c>
      <c r="B152" s="682" t="s">
        <v>513</v>
      </c>
      <c r="C152" s="102">
        <v>22</v>
      </c>
      <c r="D152" s="102" t="s">
        <v>1021</v>
      </c>
      <c r="E152" s="102">
        <v>2201</v>
      </c>
      <c r="F152" s="682" t="s">
        <v>379</v>
      </c>
      <c r="G152" s="102">
        <v>2201071</v>
      </c>
      <c r="H152" s="682" t="s">
        <v>1188</v>
      </c>
      <c r="I152" s="102">
        <v>220107100</v>
      </c>
      <c r="J152" s="682" t="s">
        <v>1189</v>
      </c>
      <c r="K152" s="115">
        <v>54</v>
      </c>
      <c r="L152" s="115"/>
      <c r="M152" s="115">
        <v>54</v>
      </c>
      <c r="N152" s="114">
        <v>2024003630025</v>
      </c>
      <c r="O152" s="686" t="s">
        <v>1190</v>
      </c>
      <c r="P152" s="683" t="s">
        <v>1347</v>
      </c>
      <c r="Q152" s="687">
        <v>1200000000</v>
      </c>
      <c r="R152" s="138"/>
      <c r="S152" s="139"/>
      <c r="T152" s="139"/>
      <c r="U152" s="454">
        <f t="shared" si="11"/>
        <v>1200000000</v>
      </c>
      <c r="V152" s="458" t="s">
        <v>1348</v>
      </c>
      <c r="W152" s="23" t="s">
        <v>1335</v>
      </c>
      <c r="X152" s="28" t="s">
        <v>1336</v>
      </c>
      <c r="Y152" s="612">
        <v>16858</v>
      </c>
      <c r="Z152" s="612">
        <v>17663</v>
      </c>
      <c r="AA152" s="612">
        <v>26731</v>
      </c>
      <c r="AB152" s="612">
        <v>6574</v>
      </c>
      <c r="AC152" s="612">
        <v>877</v>
      </c>
      <c r="AD152" s="612">
        <v>339</v>
      </c>
      <c r="AE152" s="612">
        <v>411</v>
      </c>
      <c r="AF152" s="612">
        <v>333</v>
      </c>
      <c r="AG152" s="612">
        <v>1</v>
      </c>
      <c r="AH152" s="612">
        <v>0</v>
      </c>
      <c r="AI152" s="612">
        <v>0</v>
      </c>
      <c r="AJ152" s="612">
        <v>0</v>
      </c>
      <c r="AK152" s="612">
        <v>0</v>
      </c>
      <c r="AL152" s="612">
        <v>1684</v>
      </c>
      <c r="AM152" s="612">
        <v>4038</v>
      </c>
      <c r="AN152" s="612">
        <f t="shared" si="10"/>
        <v>34521</v>
      </c>
      <c r="AO152" s="106">
        <v>46023</v>
      </c>
      <c r="AP152" s="106">
        <v>46387</v>
      </c>
      <c r="AQ152" s="110" t="s">
        <v>1028</v>
      </c>
    </row>
    <row r="153" spans="1:43" ht="74.25" hidden="1" customHeight="1" thickBot="1">
      <c r="A153" s="102">
        <v>1</v>
      </c>
      <c r="B153" s="682" t="s">
        <v>513</v>
      </c>
      <c r="C153" s="102">
        <v>22</v>
      </c>
      <c r="D153" s="102" t="s">
        <v>1021</v>
      </c>
      <c r="E153" s="102">
        <v>2201</v>
      </c>
      <c r="F153" s="682" t="s">
        <v>379</v>
      </c>
      <c r="G153" s="102">
        <v>2201071</v>
      </c>
      <c r="H153" s="682" t="s">
        <v>1188</v>
      </c>
      <c r="I153" s="102">
        <v>220107100</v>
      </c>
      <c r="J153" s="682" t="s">
        <v>1189</v>
      </c>
      <c r="K153" s="115">
        <v>54</v>
      </c>
      <c r="L153" s="115"/>
      <c r="M153" s="115">
        <v>54</v>
      </c>
      <c r="N153" s="114">
        <v>2024003630025</v>
      </c>
      <c r="O153" s="686" t="s">
        <v>1190</v>
      </c>
      <c r="P153" s="683" t="s">
        <v>1349</v>
      </c>
      <c r="Q153" s="687">
        <v>793930924</v>
      </c>
      <c r="R153" s="138"/>
      <c r="S153" s="139"/>
      <c r="T153" s="139"/>
      <c r="U153" s="454">
        <f t="shared" si="11"/>
        <v>793930924</v>
      </c>
      <c r="V153" s="458" t="s">
        <v>1350</v>
      </c>
      <c r="W153" s="23" t="s">
        <v>1335</v>
      </c>
      <c r="X153" s="28" t="s">
        <v>1336</v>
      </c>
      <c r="Y153" s="612">
        <v>16858</v>
      </c>
      <c r="Z153" s="612">
        <v>17663</v>
      </c>
      <c r="AA153" s="612">
        <v>26731</v>
      </c>
      <c r="AB153" s="612">
        <v>6574</v>
      </c>
      <c r="AC153" s="612">
        <v>877</v>
      </c>
      <c r="AD153" s="612">
        <v>339</v>
      </c>
      <c r="AE153" s="612">
        <v>411</v>
      </c>
      <c r="AF153" s="612">
        <v>333</v>
      </c>
      <c r="AG153" s="612">
        <v>1</v>
      </c>
      <c r="AH153" s="612">
        <v>0</v>
      </c>
      <c r="AI153" s="612">
        <v>0</v>
      </c>
      <c r="AJ153" s="612">
        <v>0</v>
      </c>
      <c r="AK153" s="612">
        <v>0</v>
      </c>
      <c r="AL153" s="612">
        <v>1684</v>
      </c>
      <c r="AM153" s="612">
        <v>4038</v>
      </c>
      <c r="AN153" s="612">
        <f t="shared" si="10"/>
        <v>34521</v>
      </c>
      <c r="AO153" s="106">
        <v>46023</v>
      </c>
      <c r="AP153" s="106">
        <v>46387</v>
      </c>
      <c r="AQ153" s="110" t="s">
        <v>1028</v>
      </c>
    </row>
    <row r="154" spans="1:43" s="17" customFormat="1" ht="27.6" hidden="1" customHeight="1" thickBot="1">
      <c r="A154" s="20"/>
      <c r="B154" s="21"/>
      <c r="C154" s="21"/>
      <c r="D154" s="21"/>
      <c r="E154" s="21"/>
      <c r="F154" s="21"/>
      <c r="G154" s="21"/>
      <c r="H154" s="21"/>
      <c r="I154" s="21"/>
      <c r="J154" s="21"/>
      <c r="K154" s="21"/>
      <c r="L154" s="21"/>
      <c r="M154" s="21"/>
      <c r="N154" s="21"/>
      <c r="O154" s="21"/>
      <c r="P154" s="26"/>
      <c r="Q154" s="27">
        <f>SUM(Q11:Q153)</f>
        <v>282515600494.70001</v>
      </c>
      <c r="R154" s="1097"/>
      <c r="S154" s="1098"/>
      <c r="T154" s="1098"/>
      <c r="U154" s="1098"/>
      <c r="V154" s="1098"/>
      <c r="W154" s="1098"/>
      <c r="X154" s="1098"/>
      <c r="Y154" s="1098"/>
      <c r="Z154" s="1098"/>
      <c r="AA154" s="1098"/>
      <c r="AB154" s="1098"/>
      <c r="AC154" s="1098"/>
      <c r="AD154" s="1098"/>
      <c r="AE154" s="1098"/>
      <c r="AF154" s="1098"/>
      <c r="AG154" s="1098"/>
      <c r="AH154" s="1098"/>
      <c r="AI154" s="1098"/>
      <c r="AJ154" s="1098"/>
      <c r="AK154" s="1098"/>
      <c r="AL154" s="1098"/>
      <c r="AM154" s="1098"/>
      <c r="AN154" s="1098"/>
      <c r="AO154" s="1098"/>
      <c r="AP154" s="1098"/>
      <c r="AQ154" s="1099"/>
    </row>
    <row r="155" spans="1:43" s="17" customFormat="1" ht="14.25">
      <c r="W155" s="18"/>
      <c r="X155" s="18"/>
    </row>
    <row r="156" spans="1:43" s="17" customFormat="1" ht="14.25">
      <c r="W156" s="18"/>
      <c r="X156" s="18"/>
    </row>
    <row r="157" spans="1:43" s="17" customFormat="1" ht="14.25">
      <c r="W157" s="18"/>
      <c r="X157" s="18"/>
    </row>
    <row r="158" spans="1:43" s="17" customFormat="1" ht="14.25">
      <c r="W158" s="18"/>
      <c r="X158" s="18"/>
    </row>
    <row r="159" spans="1:43" s="17" customFormat="1">
      <c r="K159" s="980" t="s">
        <v>1351</v>
      </c>
      <c r="L159" s="980"/>
      <c r="M159" s="980"/>
      <c r="N159" s="980"/>
      <c r="O159" s="980"/>
      <c r="P159" s="980"/>
      <c r="Q159" s="980"/>
      <c r="R159" s="37"/>
      <c r="S159" s="31"/>
      <c r="T159" s="31"/>
      <c r="U159" s="31"/>
      <c r="W159" s="18"/>
      <c r="X159" s="18"/>
    </row>
    <row r="160" spans="1:43">
      <c r="K160" s="981" t="s">
        <v>107</v>
      </c>
      <c r="L160" s="981"/>
      <c r="M160" s="981"/>
      <c r="N160" s="981"/>
      <c r="O160" s="981"/>
      <c r="P160" s="981"/>
      <c r="Q160" s="981"/>
      <c r="R160" s="38"/>
      <c r="S160" s="964"/>
      <c r="T160" s="964"/>
      <c r="U160" s="964"/>
    </row>
    <row r="161" spans="1:44">
      <c r="A161" s="17"/>
      <c r="B161" s="17"/>
      <c r="C161" s="17"/>
      <c r="D161" s="17"/>
      <c r="E161" s="17"/>
      <c r="F161" s="17"/>
      <c r="G161" s="17"/>
      <c r="H161" s="17"/>
      <c r="I161" s="17"/>
      <c r="J161" s="17"/>
      <c r="K161" s="17"/>
      <c r="L161" s="17"/>
      <c r="M161" s="17"/>
      <c r="N161" s="17"/>
      <c r="O161" s="17"/>
      <c r="P161" s="17"/>
      <c r="Q161" s="17"/>
      <c r="R161" s="17"/>
      <c r="S161" s="17"/>
      <c r="T161" s="17"/>
      <c r="U161" s="17"/>
      <c r="V161" s="17"/>
      <c r="W161" s="18"/>
      <c r="X161" s="18"/>
      <c r="Y161" s="17"/>
      <c r="Z161" s="17"/>
      <c r="AA161" s="17"/>
      <c r="AB161" s="17"/>
      <c r="AC161" s="17"/>
      <c r="AD161" s="17"/>
      <c r="AE161" s="17"/>
      <c r="AF161" s="17"/>
      <c r="AG161" s="17"/>
      <c r="AH161" s="17"/>
      <c r="AI161" s="17"/>
      <c r="AJ161" s="17"/>
      <c r="AK161" s="17"/>
      <c r="AL161" s="17"/>
      <c r="AM161" s="17"/>
      <c r="AN161" s="17"/>
      <c r="AO161" s="17"/>
      <c r="AP161" s="17"/>
      <c r="AQ161" s="17"/>
      <c r="AR161" s="17"/>
    </row>
    <row r="162" spans="1:44">
      <c r="A162" s="17"/>
      <c r="B162" s="17"/>
      <c r="C162" s="17"/>
      <c r="D162" s="17"/>
      <c r="E162" s="17"/>
      <c r="F162" s="17"/>
      <c r="G162" s="17"/>
      <c r="H162" s="17"/>
      <c r="I162" s="17"/>
      <c r="J162" s="17"/>
      <c r="K162" s="17"/>
      <c r="L162" s="17"/>
      <c r="M162" s="17"/>
      <c r="N162" s="17"/>
      <c r="O162" s="17"/>
      <c r="P162" s="17"/>
      <c r="Q162" s="17"/>
      <c r="R162" s="17"/>
      <c r="S162" s="17"/>
      <c r="T162" s="17"/>
      <c r="U162" s="17"/>
      <c r="V162" s="17"/>
      <c r="W162" s="18"/>
      <c r="X162" s="18"/>
      <c r="Y162" s="17"/>
      <c r="Z162" s="17"/>
      <c r="AA162" s="17"/>
      <c r="AB162" s="17"/>
      <c r="AC162" s="17"/>
      <c r="AD162" s="17"/>
      <c r="AE162" s="17"/>
      <c r="AF162" s="17"/>
      <c r="AG162" s="17"/>
      <c r="AH162" s="17"/>
      <c r="AI162" s="17"/>
      <c r="AJ162" s="17"/>
      <c r="AK162" s="17"/>
      <c r="AL162" s="17"/>
      <c r="AM162" s="17"/>
      <c r="AN162" s="17"/>
      <c r="AO162" s="17"/>
      <c r="AP162" s="17"/>
      <c r="AQ162" s="17"/>
      <c r="AR162" s="17"/>
    </row>
    <row r="163" spans="1:44">
      <c r="A163" s="17"/>
      <c r="B163" s="17"/>
      <c r="C163" s="17"/>
      <c r="D163" s="17"/>
      <c r="E163" s="17"/>
      <c r="F163" s="17"/>
      <c r="G163" s="979" t="s">
        <v>108</v>
      </c>
      <c r="H163" s="979"/>
      <c r="I163" s="982" t="s">
        <v>109</v>
      </c>
      <c r="J163" s="983"/>
      <c r="K163" s="984" t="s">
        <v>110</v>
      </c>
      <c r="L163" s="985"/>
      <c r="M163" s="985"/>
      <c r="N163" s="986"/>
      <c r="O163" s="17"/>
      <c r="P163" s="17"/>
      <c r="Q163" s="17"/>
      <c r="R163" s="17"/>
      <c r="S163" s="17"/>
      <c r="T163" s="17"/>
      <c r="U163" s="17"/>
      <c r="V163" s="17"/>
      <c r="W163" s="18"/>
      <c r="X163" s="18"/>
      <c r="Y163" s="17"/>
      <c r="Z163" s="17"/>
      <c r="AA163" s="17"/>
      <c r="AB163" s="17"/>
      <c r="AC163" s="17"/>
      <c r="AD163" s="17"/>
      <c r="AE163" s="17"/>
      <c r="AF163" s="17"/>
      <c r="AG163" s="17"/>
      <c r="AH163" s="17"/>
      <c r="AI163" s="17"/>
      <c r="AJ163" s="17"/>
      <c r="AK163" s="17"/>
      <c r="AL163" s="17"/>
      <c r="AM163" s="17"/>
      <c r="AN163" s="17"/>
      <c r="AO163" s="17"/>
      <c r="AP163" s="17"/>
      <c r="AQ163" s="17"/>
      <c r="AR163" s="17"/>
    </row>
    <row r="164" spans="1:44" ht="31.5" customHeight="1">
      <c r="A164" s="17"/>
      <c r="B164" s="17"/>
      <c r="C164" s="17"/>
      <c r="D164" s="17"/>
      <c r="E164" s="17"/>
      <c r="F164" s="17"/>
      <c r="G164" s="979" t="s">
        <v>111</v>
      </c>
      <c r="H164" s="979"/>
      <c r="I164" s="1017" t="s">
        <v>112</v>
      </c>
      <c r="J164" s="1018"/>
      <c r="K164" s="979" t="s">
        <v>113</v>
      </c>
      <c r="L164" s="979"/>
      <c r="M164" s="979"/>
      <c r="N164" s="979"/>
      <c r="O164" s="17"/>
      <c r="P164" s="17"/>
      <c r="Q164" s="17"/>
      <c r="R164" s="17"/>
      <c r="S164" s="17"/>
      <c r="T164" s="17"/>
      <c r="U164" s="17"/>
      <c r="V164" s="24"/>
      <c r="W164" s="18"/>
      <c r="X164" s="18"/>
      <c r="Y164" s="17"/>
      <c r="Z164" s="17"/>
      <c r="AA164" s="17"/>
      <c r="AB164" s="17"/>
      <c r="AC164" s="17"/>
      <c r="AD164" s="17"/>
      <c r="AE164" s="17"/>
      <c r="AF164" s="17"/>
      <c r="AG164" s="17"/>
      <c r="AH164" s="17"/>
      <c r="AI164" s="17"/>
      <c r="AJ164" s="17"/>
      <c r="AK164" s="17"/>
      <c r="AL164" s="17"/>
      <c r="AM164" s="17"/>
      <c r="AN164" s="17"/>
      <c r="AO164" s="17"/>
      <c r="AP164" s="17"/>
      <c r="AQ164" s="17"/>
      <c r="AR164" s="17"/>
    </row>
    <row r="165" spans="1:44" ht="25.5" customHeight="1">
      <c r="G165" s="979" t="s">
        <v>114</v>
      </c>
      <c r="H165" s="979"/>
      <c r="I165" s="979" t="s">
        <v>115</v>
      </c>
      <c r="J165" s="979"/>
      <c r="K165" s="979" t="s">
        <v>116</v>
      </c>
      <c r="L165" s="979"/>
      <c r="M165" s="979"/>
      <c r="N165" s="979"/>
    </row>
    <row r="166" spans="1:44">
      <c r="G166" s="19"/>
      <c r="H166" s="17"/>
      <c r="I166" s="17"/>
      <c r="J166" s="17"/>
    </row>
  </sheetData>
  <autoFilter ref="A10:BI154" xr:uid="{00000000-0001-0000-0900-000000000000}">
    <filterColumn colId="13">
      <filters>
        <filter val="2024003630022"/>
      </filters>
    </filterColumn>
  </autoFilter>
  <mergeCells count="32">
    <mergeCell ref="G164:H164"/>
    <mergeCell ref="I164:J164"/>
    <mergeCell ref="K164:N164"/>
    <mergeCell ref="G165:H165"/>
    <mergeCell ref="I165:J165"/>
    <mergeCell ref="K165:N165"/>
    <mergeCell ref="R154:AQ154"/>
    <mergeCell ref="K159:Q159"/>
    <mergeCell ref="K160:Q160"/>
    <mergeCell ref="G163:H163"/>
    <mergeCell ref="I163:J163"/>
    <mergeCell ref="K163:N163"/>
    <mergeCell ref="AP7:AP10"/>
    <mergeCell ref="AQ7:AQ10"/>
    <mergeCell ref="V8:X8"/>
    <mergeCell ref="Y8:Z8"/>
    <mergeCell ref="AA8:AD8"/>
    <mergeCell ref="AE8:AJ8"/>
    <mergeCell ref="AK8:AM8"/>
    <mergeCell ref="A1:B6"/>
    <mergeCell ref="C1:AO1"/>
    <mergeCell ref="C2:AO4"/>
    <mergeCell ref="C5:AO6"/>
    <mergeCell ref="A7:B8"/>
    <mergeCell ref="C7:D8"/>
    <mergeCell ref="E7:F8"/>
    <mergeCell ref="G7:H8"/>
    <mergeCell ref="I7:J8"/>
    <mergeCell ref="K7:M8"/>
    <mergeCell ref="N7:Q8"/>
    <mergeCell ref="Y7:AN7"/>
    <mergeCell ref="AO7:AO10"/>
  </mergeCells>
  <pageMargins left="0.25" right="0.25" top="0.75" bottom="0.75" header="0.3" footer="0.3"/>
  <pageSetup scale="22" fitToHeight="6"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Hewlett-Packard Company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AUXPLANEACION19</dc:creator>
  <cp:keywords/>
  <dc:description/>
  <cp:lastModifiedBy/>
  <cp:revision/>
  <dcterms:created xsi:type="dcterms:W3CDTF">2022-06-03T18:18:37Z</dcterms:created>
  <dcterms:modified xsi:type="dcterms:W3CDTF">2026-01-14T19:30:16Z</dcterms:modified>
  <cp:category/>
  <cp:contentStatus/>
</cp:coreProperties>
</file>